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3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1.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30.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31.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32.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ções" sheetId="1" r:id="rId3"/>
    <sheet state="visible" name="NomesPadrão" sheetId="2" r:id="rId4"/>
    <sheet state="visible" name="CE-ACPAD" sheetId="3" r:id="rId5"/>
    <sheet state="visible" name="CE-CCI" sheetId="4" r:id="rId6"/>
    <sheet state="visible" name="CE-ESC" sheetId="5" r:id="rId7"/>
    <sheet state="visible" name="CE-GRAPI" sheetId="6" r:id="rId8"/>
    <sheet state="visible" name="CE-RESD" sheetId="7" r:id="rId9"/>
    <sheet state="visible" name="CE-R" sheetId="8" r:id="rId10"/>
    <sheet state="visible" name="CE-SEG" sheetId="9" r:id="rId11"/>
    <sheet state="visible" name="CE-TF" sheetId="10" r:id="rId12"/>
    <sheet state="visible" name="CE-ES" sheetId="11" r:id="rId13"/>
    <sheet state="visible" name="CE-LP" sheetId="12" r:id="rId14"/>
    <sheet state="visible" name="CE-MF" sheetId="13" r:id="rId15"/>
    <sheet state="visible" name="CE-ACO" sheetId="14" r:id="rId16"/>
    <sheet state="visible" name="CE-BioComp" sheetId="15" r:id="rId17"/>
    <sheet state="visible" name="CE-CM" sheetId="16" r:id="rId18"/>
    <sheet state="visible" name="CE-IA" sheetId="17" r:id="rId19"/>
    <sheet state="visible" name="CE-IC" sheetId="18" r:id="rId20"/>
    <sheet state="visible" name="CE-IHC" sheetId="19" r:id="rId21"/>
    <sheet state="visible" name="CE-PLN" sheetId="20" r:id="rId22"/>
    <sheet state="visible" name="CE-SC" sheetId="21" r:id="rId23"/>
    <sheet state="visible" name="CE-WEBMEDIA" sheetId="22" r:id="rId24"/>
    <sheet state="visible" name="CE-RV" sheetId="23" r:id="rId25"/>
    <sheet state="visible" name="CE-JOGOS" sheetId="24" r:id="rId26"/>
    <sheet state="visible" name="CE-Geoinformática" sheetId="25" r:id="rId27"/>
    <sheet state="visible" name="CE-CAS" sheetId="26" r:id="rId28"/>
    <sheet state="visible" name="CE-IE" sheetId="27" r:id="rId29"/>
    <sheet state="visible" name="CE-SI" sheetId="28" r:id="rId30"/>
    <sheet state="visible" name="CE-BD" sheetId="29" r:id="rId31"/>
    <sheet state="visible" name="GI-L" sheetId="30" r:id="rId32"/>
    <sheet state="visible" name="CE-EDUCOMP" sheetId="31" r:id="rId33"/>
    <sheet state="visible" name="Eventos SBC" sheetId="32" r:id="rId34"/>
  </sheets>
  <definedNames/>
  <calcPr/>
</workbook>
</file>

<file path=xl/sharedStrings.xml><?xml version="1.0" encoding="utf-8"?>
<sst xmlns="http://schemas.openxmlformats.org/spreadsheetml/2006/main" count="2861" uniqueCount="2850">
  <si>
    <t>PLANILHA DE TRABALHO DA DIRETORIA DE CEs E EVENTOS DA SBC</t>
  </si>
  <si>
    <t>Incluir as conferências importantes para a Comissão Especial no formato da planilha correspondente a sua Comissão Especial</t>
  </si>
  <si>
    <t>Indicar até  20 conferências mais importantes para a Comissão Especial, separadas em dois níveis (ver planilha).</t>
  </si>
  <si>
    <t>A CE pode ainda listar outras conferências que sejam adequadas ou aderentes aos temas da CE ("Eventos da área" na planilha).</t>
  </si>
  <si>
    <t>Não repetir o nome do evento na mesma aba.</t>
  </si>
  <si>
    <t>Usar como nome padrão, o nome em</t>
  </si>
  <si>
    <t>https://www.gov.br/capes/pt-br/centrais-de-conteudo/documentos/avaliacao/09012022_CLASSIFICACAODEEVENTOSPARA20172020.xlsx</t>
  </si>
  <si>
    <t>Se não existir o nome da conferência na Capes (link acima), usar a sigla e nome da conferência segundo armazenado no DBLP</t>
  </si>
  <si>
    <t>Incluir o H5 do Google e o link para a consulta</t>
  </si>
  <si>
    <t>incluir o link do evento na DBLP ou SOL</t>
  </si>
  <si>
    <t>Exemplo:</t>
  </si>
  <si>
    <t>Relevância</t>
  </si>
  <si>
    <t>Sigla</t>
  </si>
  <si>
    <t>Nome</t>
  </si>
  <si>
    <t>H5</t>
  </si>
  <si>
    <t>Link Google Metrics</t>
  </si>
  <si>
    <t>Nova Sigla</t>
  </si>
  <si>
    <t>Novo Nome</t>
  </si>
  <si>
    <t>Nome Alternativo</t>
  </si>
  <si>
    <t>Link da DBLP</t>
  </si>
  <si>
    <t>Link da SOL</t>
  </si>
  <si>
    <t>Comentário</t>
  </si>
  <si>
    <t>Top 10</t>
  </si>
  <si>
    <t>SBGAMES</t>
  </si>
  <si>
    <t>Simpósio Brasileiro de Jogos e Entretenimento Digital</t>
  </si>
  <si>
    <t>https://scholar.google.com/citations?hl=en&amp;view_op=search_venues&amp;vq=brazilian+symposium+on+games+and+digital+entertainment&amp;btnG=</t>
  </si>
  <si>
    <t>Brazilian Symposium on Games and Digital Entertainment</t>
  </si>
  <si>
    <t>https://dblp.org/db/conf/sbgames/index.html</t>
  </si>
  <si>
    <t>https://sol.sbc.org.br/index.php/sbgames</t>
  </si>
  <si>
    <t>FSE/ESEC</t>
  </si>
  <si>
    <t>Joint Meeting on European Software Engineering Conference and Foundations of Software Engineering</t>
  </si>
  <si>
    <t>https://scholar.google.com/citations?hl=en&amp;view_op=list_hcore&amp;venue=CwfZO4J4a4UJ.2023</t>
  </si>
  <si>
    <t>FSE</t>
  </si>
  <si>
    <t>ACM SIGSOFT Conference on the Foundations of Software Engineering</t>
  </si>
  <si>
    <t>https://dblp.org/db/conf/sigsoft/index.html</t>
  </si>
  <si>
    <t>Top 20</t>
  </si>
  <si>
    <t>WICSA</t>
  </si>
  <si>
    <t>Working IEEE/IFIP Conference on Software Architecture</t>
  </si>
  <si>
    <t>https://scholar.google.com/citations?hl=en&amp;view_op=list_hcore&amp;venue=7pDaek0315EJ.2023</t>
  </si>
  <si>
    <t>ICSA</t>
  </si>
  <si>
    <t>IEEE International Conference on Software Architecture</t>
  </si>
  <si>
    <t>https://dblp.org/db/conf/icsa/index.html</t>
  </si>
  <si>
    <t>Se tiver mais algum comentário, incluir na coluna Comentário.</t>
  </si>
  <si>
    <t>Um evento deve seguir os critérios obrigatórios descritos na pág 7 em</t>
  </si>
  <si>
    <t>https://www.gov.br/capes/pt-br/centrais-de-conteudo/10062019-qualis-artistico-classificacao-de-eventos-pdf</t>
  </si>
  <si>
    <t>Não alterar o formato, pois a planilha será unida com as demais planilhas das Comissões Especiais.</t>
  </si>
  <si>
    <t>Alteração no formato poderá prejudicar a importação</t>
  </si>
  <si>
    <r>
      <rPr>
        <rFont val="Arial"/>
        <b/>
        <sz val="11.0"/>
      </rPr>
      <t xml:space="preserve">Instruções:
</t>
    </r>
    <r>
      <rPr>
        <rFont val="Arial"/>
        <sz val="11.0"/>
      </rPr>
      <t xml:space="preserve">
- As colunas </t>
    </r>
    <r>
      <rPr>
        <rFont val="Arial"/>
        <b/>
        <sz val="11.0"/>
      </rPr>
      <t>Nova Sigla</t>
    </r>
    <r>
      <rPr>
        <rFont val="Arial"/>
        <sz val="11.0"/>
      </rPr>
      <t xml:space="preserve"> e </t>
    </r>
    <r>
      <rPr>
        <rFont val="Arial"/>
        <b/>
        <sz val="11.0"/>
      </rPr>
      <t>Novo Nome</t>
    </r>
    <r>
      <rPr>
        <rFont val="Arial"/>
        <sz val="11.0"/>
      </rPr>
      <t xml:space="preserve"> devem ser utilizadas nos seguintes casos:
1. Para incluir novos eventos que não existem no Qualis Eventos atual; ou
2. Para alterar a sigla e/ou o nome de eventos existentes no Qualis Enventos atual.
- A coluna Nome Alternativo deve ser utilizada quando um evento tiver mais de uma 
denominação "oficial". O uso dessa coluna é indicado para eventos nacionais que 
têm denominação alternativa em Inglês, como é comum em muitos eventos da SBC.
 Isso ajuda o algoritmo de classificação de eventos a identificar corretamente eventos 
com ambas as denominações.
- As colunas Link da DBLP e Link da SOL deverm ser utilizadas para informar as 
URLs das páginas principais dos eventos na DBLP e/ou na SOL, respectivamente, 
quando existirem. Se um evento estiver cadastrado nas duas bases, recomenda-se 
incluir ambas as URLs. Isso aumenta a chance dos artigos publicados nesse evento 
serem classificados automaticamente pelo algoritmo de classificação.
</t>
    </r>
  </si>
  <si>
    <t>SIGLA</t>
  </si>
  <si>
    <t>NomeSemSigla</t>
  </si>
  <si>
    <t>&lt;Programming&gt;</t>
  </si>
  <si>
    <t>International Conference on the Art, Science, and Engineering of Programming</t>
  </si>
  <si>
    <t>3DOR</t>
  </si>
  <si>
    <t>Eurographics Workshop on 3D Object Retrieval</t>
  </si>
  <si>
    <t>3DUI</t>
  </si>
  <si>
    <t>IEEE Symposium on 3D User Interfaces</t>
  </si>
  <si>
    <t>3DV</t>
  </si>
  <si>
    <t>International Conference on 3D Vision</t>
  </si>
  <si>
    <t>3ICT</t>
  </si>
  <si>
    <t>International Conference on Innovation and Intelligence for Informatics, Computing, and Technologies</t>
  </si>
  <si>
    <t>5GWF</t>
  </si>
  <si>
    <t>IEEE 5G World Forum</t>
  </si>
  <si>
    <t>A-TEST</t>
  </si>
  <si>
    <t>International Workshop on Automating Test Case Design, Selection and Evaluation</t>
  </si>
  <si>
    <t>AAAI</t>
  </si>
  <si>
    <t>AAAI Conference on Artificial Intelligence</t>
  </si>
  <si>
    <t>AAMAS</t>
  </si>
  <si>
    <t>International Conference on Autonomous Agents and Multiagent Systems</t>
  </si>
  <si>
    <t>ABZ</t>
  </si>
  <si>
    <t>International ABZ Conference ASM, Alloy, B, TLA, VDM, Z</t>
  </si>
  <si>
    <t>AC-IADIS</t>
  </si>
  <si>
    <t>IADIS International Conference on Applied Computing</t>
  </si>
  <si>
    <t>ACC</t>
  </si>
  <si>
    <t>American Control Conference</t>
  </si>
  <si>
    <t>ACCV</t>
  </si>
  <si>
    <t>Asian Conference on Computer Vision</t>
  </si>
  <si>
    <t>ACE</t>
  </si>
  <si>
    <t>International Conference on Advances in Computer Entertainment Technology</t>
  </si>
  <si>
    <t>ACHI-IARIA</t>
  </si>
  <si>
    <t>IARIA International Conference on Advances in Computer-Human Interactions</t>
  </si>
  <si>
    <t>ACII</t>
  </si>
  <si>
    <t>International Conference on Affective Computing and Intelligent Interaction</t>
  </si>
  <si>
    <t>ACIRS</t>
  </si>
  <si>
    <t>Asia-Pacific Conference on Intelligent Robot Systems</t>
  </si>
  <si>
    <t>ACISP</t>
  </si>
  <si>
    <t>Australasian Conference on Information Security and Privacy</t>
  </si>
  <si>
    <t>ACIVS</t>
  </si>
  <si>
    <t>Advanced Concepts for Intelligent Vision Systems</t>
  </si>
  <si>
    <t>ACL</t>
  </si>
  <si>
    <t>Annual Meeting of the Association for Computational Linguistics</t>
  </si>
  <si>
    <t>ACM CC</t>
  </si>
  <si>
    <t>Creativity &amp; Cognition</t>
  </si>
  <si>
    <t>ACM CHI PLAY</t>
  </si>
  <si>
    <t>Annual Symposium on Computer-Human Interaction in Play</t>
  </si>
  <si>
    <t>ACM IMX</t>
  </si>
  <si>
    <t>ACM International Conference on Interactive Media Experiences</t>
  </si>
  <si>
    <t>ACMIDC</t>
  </si>
  <si>
    <t>ACM Internacional Conference on Interaction Design and Children</t>
  </si>
  <si>
    <t>ACMMM</t>
  </si>
  <si>
    <t>ACM International Conference on Multimedia</t>
  </si>
  <si>
    <t>ACMSOCC</t>
  </si>
  <si>
    <t>ACM Symposium on Cloud Computing</t>
  </si>
  <si>
    <t>ACNS</t>
  </si>
  <si>
    <t>Applied Cryptography and Network Security</t>
  </si>
  <si>
    <t>ACRA</t>
  </si>
  <si>
    <t>Australasian Conference on Robotics and Automation</t>
  </si>
  <si>
    <t>ACSAC</t>
  </si>
  <si>
    <t>Computer Security Applications Conference</t>
  </si>
  <si>
    <t>ADBIS</t>
  </si>
  <si>
    <t>East European Conference on Advances in Databases and Information Systems</t>
  </si>
  <si>
    <t>ADHOC-NOW</t>
  </si>
  <si>
    <t>International Conference on Ad-Hoc Networks and Wireless</t>
  </si>
  <si>
    <t>ADMS</t>
  </si>
  <si>
    <t>International Workshop on Accelerating Analytics and Data Management Systems Using Modern Processor and Storage Architectures</t>
  </si>
  <si>
    <t>ADVANCE</t>
  </si>
  <si>
    <t>International Workshop on Advances in ICT Infrastructures and Services</t>
  </si>
  <si>
    <t>AES</t>
  </si>
  <si>
    <t>International Convention of the Audio Engineering Society</t>
  </si>
  <si>
    <t>AES-ICSA</t>
  </si>
  <si>
    <t>AES International Conference on Semantic Audio</t>
  </si>
  <si>
    <t>AFRICACRYPT</t>
  </si>
  <si>
    <t>International Conference on Cryptology in Africa</t>
  </si>
  <si>
    <t>AGILEGIS</t>
  </si>
  <si>
    <t>Conference on Geographic Information Science</t>
  </si>
  <si>
    <t>AH</t>
  </si>
  <si>
    <t>Augmented Human International Conference</t>
  </si>
  <si>
    <t>AHS</t>
  </si>
  <si>
    <t>NASA/ESA Conference on Adaptive Hardware and Systems</t>
  </si>
  <si>
    <t>AI</t>
  </si>
  <si>
    <t>Canadian Conference on Artificial Intelligence</t>
  </si>
  <si>
    <t>AIC</t>
  </si>
  <si>
    <t>International Workshop on Artificial Intelligence and Cognition</t>
  </si>
  <si>
    <t>AICCSA</t>
  </si>
  <si>
    <t>ACS/IEEE International Conference on Computer Systems and Applications</t>
  </si>
  <si>
    <t>AICT</t>
  </si>
  <si>
    <t>International Conference on Application of Information and Communication Technologies</t>
  </si>
  <si>
    <t>AICT-IARIA</t>
  </si>
  <si>
    <t>IARIA Advanced International Conference on Telecommunications</t>
  </si>
  <si>
    <t>AIED</t>
  </si>
  <si>
    <t>International Conference on Artificial Intelligence in Education</t>
  </si>
  <si>
    <t>AIES</t>
  </si>
  <si>
    <t>AAAI/ACM Conference on AI, Ethics, and Society</t>
  </si>
  <si>
    <t>AIIDE</t>
  </si>
  <si>
    <t>AAAI Conference on Artificial Intelligence and Interactive Digital Entertainment</t>
  </si>
  <si>
    <t>AIM</t>
  </si>
  <si>
    <t>IEEE/ASME International Conference on Advanced Intelligent Mechatronics</t>
  </si>
  <si>
    <t>AIME</t>
  </si>
  <si>
    <t>Conference on Artificial Intelligence in Medicine</t>
  </si>
  <si>
    <t>AIML</t>
  </si>
  <si>
    <t>Advances in Modal Logic</t>
  </si>
  <si>
    <t>AIMS</t>
  </si>
  <si>
    <t>International Conference on Autonomous Infrastructure, Management and Security</t>
  </si>
  <si>
    <t>AINA</t>
  </si>
  <si>
    <t>IEEE International Conference on Advanced Information Networking and Applications</t>
  </si>
  <si>
    <t>AINAW</t>
  </si>
  <si>
    <t>IEEE International Conference on Advanced Information Networking and Applications Workshops</t>
  </si>
  <si>
    <t>AIPR</t>
  </si>
  <si>
    <t>Applied Imagery Pattern Recognition Workshop</t>
  </si>
  <si>
    <t>AISTATS</t>
  </si>
  <si>
    <t>International Conference on Artificial Intelligence and Statistics</t>
  </si>
  <si>
    <t>AITest</t>
  </si>
  <si>
    <t>IEEE International Conference On Artificial Intelligence Testing</t>
  </si>
  <si>
    <t>AITM</t>
  </si>
  <si>
    <t>Conference on Advanced Information Technologies for Management</t>
  </si>
  <si>
    <t>AlCoB</t>
  </si>
  <si>
    <t>International Conference on Algorithms for Computational Biology</t>
  </si>
  <si>
    <t>ALENEX</t>
  </si>
  <si>
    <t>SIAM Symposium on Algorithm Engineering and Experiments</t>
  </si>
  <si>
    <t>ALIO/EURO</t>
  </si>
  <si>
    <t>Joint ALIO/EURO International Conference on Applied Combinatorial Optimization</t>
  </si>
  <si>
    <t>ALLERTON</t>
  </si>
  <si>
    <t>Allerton Conference on Communication, Control, and Computing</t>
  </si>
  <si>
    <t>AMCIS</t>
  </si>
  <si>
    <t>Americas Conference on Information Systems</t>
  </si>
  <si>
    <t>AMD</t>
  </si>
  <si>
    <t>Workshop on Analysis of Movement Data</t>
  </si>
  <si>
    <t>AMIA</t>
  </si>
  <si>
    <t>Annual Symposium of the American Medical Informatics Association</t>
  </si>
  <si>
    <t>AMW</t>
  </si>
  <si>
    <t>Alberto Mendelzon International Workshop on Foundations of Data Management</t>
  </si>
  <si>
    <t>ANCS</t>
  </si>
  <si>
    <t>ACM/IEEE Symposium on Architectures for Networking and Communications Systems</t>
  </si>
  <si>
    <t>ANPPOM</t>
  </si>
  <si>
    <t>Congresso da Associação Nacional de Pesquisa e Pós-Graduação em Música</t>
  </si>
  <si>
    <t>ANSS</t>
  </si>
  <si>
    <t>Annual Simulation Symposium</t>
  </si>
  <si>
    <t>ANT</t>
  </si>
  <si>
    <t>International Conference on Ambient Systems, Networks and Technologies</t>
  </si>
  <si>
    <t>ANTS</t>
  </si>
  <si>
    <t>IEEE International Conference on Advanced Networks and Telecommuncations Systems</t>
  </si>
  <si>
    <t>APCCAS</t>
  </si>
  <si>
    <t>IEEE Asia Pacific Conference on Circuits and Systems</t>
  </si>
  <si>
    <t>APKC</t>
  </si>
  <si>
    <t>ACM on ASIA Public-Key Cryptography Workshop</t>
  </si>
  <si>
    <t>APLAS</t>
  </si>
  <si>
    <t>Asian Symposium on Programming Languages and Systems</t>
  </si>
  <si>
    <t>APNOMS</t>
  </si>
  <si>
    <t>Asia-Pacific Network Operations and Management Symposium</t>
  </si>
  <si>
    <t>APPROX-RANDOM</t>
  </si>
  <si>
    <t>International Conference on Approximation Algorithms for Combinatorial Optimization Problems</t>
  </si>
  <si>
    <t>APWEB</t>
  </si>
  <si>
    <t>Asia-Pacific Web Conference</t>
  </si>
  <si>
    <t>ARC</t>
  </si>
  <si>
    <t>International Symposium on Applied Reconfigurable Computing</t>
  </si>
  <si>
    <t>ARCS</t>
  </si>
  <si>
    <t>International Conference on Architecture of Computing Systems</t>
  </si>
  <si>
    <t>ARES</t>
  </si>
  <si>
    <t>International Conference on Availability, Reliability and Security</t>
  </si>
  <si>
    <t>ARIC</t>
  </si>
  <si>
    <t>International Workshop on Intelligent and Resilient Cities</t>
  </si>
  <si>
    <t>ARM</t>
  </si>
  <si>
    <t>Workshop on Adaptive and Reflective Middleware</t>
  </si>
  <si>
    <t>ARSO</t>
  </si>
  <si>
    <t>IEEE Workshop on Advanced Robotics and its Social Impacts</t>
  </si>
  <si>
    <t>ASAP</t>
  </si>
  <si>
    <t>IEEE International Conference on Application-specific Systems, Architectures and Processors</t>
  </si>
  <si>
    <t>ASE</t>
  </si>
  <si>
    <t>IEEE/ACM International Conference on Automated Software Engineering</t>
  </si>
  <si>
    <t>ASIACCS</t>
  </si>
  <si>
    <t>ACM ASIA Symposium on Information, Computer and Communications Security</t>
  </si>
  <si>
    <t>ASIACRYPT</t>
  </si>
  <si>
    <t>Annual International Conference on the Theory and Applications of Cryptology and Information Security</t>
  </si>
  <si>
    <t>ASID</t>
  </si>
  <si>
    <t>International Conference on Anti-counterfeiting, Security, and Identification in Communication</t>
  </si>
  <si>
    <t>ASMS</t>
  </si>
  <si>
    <t>Advanced Satellite Multimedia Systems Conference</t>
  </si>
  <si>
    <t>ASONAM</t>
  </si>
  <si>
    <t>IEEE/ACM International Conference on Advances in Social Networks Analysis and Mining</t>
  </si>
  <si>
    <t>ASP-DAC</t>
  </si>
  <si>
    <t>Asia and South Pacific Design Automation Conference</t>
  </si>
  <si>
    <t>ASPLOS</t>
  </si>
  <si>
    <t>International Conference on Architectural Support for Programming Languages and Operating Systems</t>
  </si>
  <si>
    <t>ASPRS</t>
  </si>
  <si>
    <t>Annual Conference and International Lidar Mapping Forum</t>
  </si>
  <si>
    <t>ASSETS</t>
  </si>
  <si>
    <t>International ACM SIGACCESS Conference on Computers and Accessibility</t>
  </si>
  <si>
    <t>AST</t>
  </si>
  <si>
    <t>IEEE/ACM International Workshop on Automation of Software Testing</t>
  </si>
  <si>
    <t>ASWEC</t>
  </si>
  <si>
    <t>Australasian Software Engineering Conference</t>
  </si>
  <si>
    <t>ASYNC</t>
  </si>
  <si>
    <t>IEEE International Symposium on Asynchronous Circuits and Systems</t>
  </si>
  <si>
    <t>ATC</t>
  </si>
  <si>
    <t>USENIX Annual Technical Conference</t>
  </si>
  <si>
    <t>Atech</t>
  </si>
  <si>
    <t>International Conference on Agreement Technologies</t>
  </si>
  <si>
    <t>ATS</t>
  </si>
  <si>
    <t>Asian Test Symposium</t>
  </si>
  <si>
    <t>ATT</t>
  </si>
  <si>
    <t>International Workshop on Agents in Traffic and Transportation</t>
  </si>
  <si>
    <t>AUDIOMOSTLY</t>
  </si>
  <si>
    <t>Audio Mostly Conference</t>
  </si>
  <si>
    <t>AusDM</t>
  </si>
  <si>
    <t>Australasian Data Mining Conference</t>
  </si>
  <si>
    <t>AVI</t>
  </si>
  <si>
    <t>International Working Conference on Advanced Visual Interfaces</t>
  </si>
  <si>
    <t>AVSS</t>
  </si>
  <si>
    <t>IEEE International Conference on Advanced Video and Signal Based Surveillance</t>
  </si>
  <si>
    <t>BCB</t>
  </si>
  <si>
    <t>ACM International Conference on Bioinformatics, Computational Biology, and Health Informatics</t>
  </si>
  <si>
    <t>BCS-HCI</t>
  </si>
  <si>
    <t>Conference of the British Computer Society Human Computer Interaction Specialist Group</t>
  </si>
  <si>
    <t>BDCAT</t>
  </si>
  <si>
    <t>IEEE/ACM International Conference on Big Data Computing, Applications and Technologies</t>
  </si>
  <si>
    <t>BDCLOUD</t>
  </si>
  <si>
    <t>International Conference on Big Data and Cloud Computing</t>
  </si>
  <si>
    <t>BENCH</t>
  </si>
  <si>
    <t>International Symposium on Benchmarking, Measuring and Optimization</t>
  </si>
  <si>
    <t>BESC</t>
  </si>
  <si>
    <t>International Conference on Behavior, Economic and Social Computing</t>
  </si>
  <si>
    <t>BIATA</t>
  </si>
  <si>
    <t>Bioinformatics: from Algorithms to Applications</t>
  </si>
  <si>
    <t>BIBE</t>
  </si>
  <si>
    <t>IEEE International Conference on BioInformatics and BioEngineering</t>
  </si>
  <si>
    <t>BIBM</t>
  </si>
  <si>
    <t>IEEE International Conference on Bioinformatics and Biomedicine</t>
  </si>
  <si>
    <t>BICT</t>
  </si>
  <si>
    <t>EAI International Conference on Bio-inspired Information an Communications Technologies</t>
  </si>
  <si>
    <t>BIGDATA</t>
  </si>
  <si>
    <t>IEEE International Conference on Big Data</t>
  </si>
  <si>
    <t>BigDataSE</t>
  </si>
  <si>
    <t>IEEE International Conference On Big Data Science And Engineering</t>
  </si>
  <si>
    <t>BIGDATASERVICE</t>
  </si>
  <si>
    <t>IEEE International Conference on Big Data Computing Service and Applications</t>
  </si>
  <si>
    <t>BIGDSE</t>
  </si>
  <si>
    <t>IEEE/ACM International Workshop on Big Data Software Engineering</t>
  </si>
  <si>
    <t>BigSpatial</t>
  </si>
  <si>
    <t>ACM SIGSPATIAL International Workshop on Analytics for Big Geospatial Data</t>
  </si>
  <si>
    <t>BioCOMP-WC</t>
  </si>
  <si>
    <t>International Conference on Bioinformatics &amp; Computational Biology</t>
  </si>
  <si>
    <t>BioRob</t>
  </si>
  <si>
    <t>IEEE RAS &amp; EMBS International Conference on Biomedical Robotics and Biomechatronics</t>
  </si>
  <si>
    <t>BIOSENSORS</t>
  </si>
  <si>
    <t>World Congress on Biosensors</t>
  </si>
  <si>
    <t>BIS</t>
  </si>
  <si>
    <t>International Conference on Business Information Systems</t>
  </si>
  <si>
    <t>BLACKSEACOM</t>
  </si>
  <si>
    <t>IEEE International Black Sea Conference on Communications and Networking</t>
  </si>
  <si>
    <t>BLOCKCHAIN</t>
  </si>
  <si>
    <t>IEEE International Conference on Blockchain</t>
  </si>
  <si>
    <t>BMEI</t>
  </si>
  <si>
    <t>International Conference BioMedical Engineering and Informatics</t>
  </si>
  <si>
    <t>BMVC</t>
  </si>
  <si>
    <t>British Machine Vision Conference</t>
  </si>
  <si>
    <t>BPM</t>
  </si>
  <si>
    <t>International Conference on Business Process Management</t>
  </si>
  <si>
    <t>BPMS2</t>
  </si>
  <si>
    <t>Workshop on Social and Human Aspects of Business Process Management</t>
  </si>
  <si>
    <t>BRACIS</t>
  </si>
  <si>
    <t>Brazilian Conference on Intelligent Systems</t>
  </si>
  <si>
    <t>BRAHUR</t>
  </si>
  <si>
    <t>Brazilian Humanoid Robot Workshop</t>
  </si>
  <si>
    <t>BRAINS</t>
  </si>
  <si>
    <t>Blockchain, Robotics and AI for Networking Security Conference</t>
  </si>
  <si>
    <t>BRASERO</t>
  </si>
  <si>
    <t>Brazilian Workshop on Service Robotics</t>
  </si>
  <si>
    <t>BRASNAM</t>
  </si>
  <si>
    <t>Brazilian Workshop on Social Network Analysis and Mining</t>
  </si>
  <si>
    <t>BRESCI</t>
  </si>
  <si>
    <t>Brazilian e-Science Workshop</t>
  </si>
  <si>
    <t>BSB</t>
  </si>
  <si>
    <t>Brazilian Symposium on Bioinformatics</t>
  </si>
  <si>
    <t>BSN</t>
  </si>
  <si>
    <t>IEEE-EMBS International Conference on Wearable and Implantable Body Sensor Networks</t>
  </si>
  <si>
    <t>BTAS</t>
  </si>
  <si>
    <t>IEEE International Conference on Biometrics: Theory, Applications, and Systems</t>
  </si>
  <si>
    <t>C&amp;T</t>
  </si>
  <si>
    <t>International Conference on Communities and Technologies</t>
  </si>
  <si>
    <t>C4BIE</t>
  </si>
  <si>
    <t>International Workshop on Cloud for Business, Industry and Enterprises</t>
  </si>
  <si>
    <t>CAD</t>
  </si>
  <si>
    <t>International CAD Conference</t>
  </si>
  <si>
    <t>CADE</t>
  </si>
  <si>
    <t>International Conference on Automated Deduction</t>
  </si>
  <si>
    <t>CAIP</t>
  </si>
  <si>
    <t>International Conference on Computer Analysis of Images and Patterns</t>
  </si>
  <si>
    <t>CAISE</t>
  </si>
  <si>
    <t>International Conference on Advanced Information Systems Engineering</t>
  </si>
  <si>
    <t>CALDAM</t>
  </si>
  <si>
    <t>International Conference on Algorithms and Discrete Applied Mathematics</t>
  </si>
  <si>
    <t>CAMAD</t>
  </si>
  <si>
    <t>IEEE International Workshop on Computer Aided Modeling and Design of Communication Links and Networks</t>
  </si>
  <si>
    <t>CANDAR</t>
  </si>
  <si>
    <t>International Symposium on Computing and Networking</t>
  </si>
  <si>
    <t>CANS</t>
  </si>
  <si>
    <t>International Conference on Cryptology and Network Security</t>
  </si>
  <si>
    <t>CAPSI</t>
  </si>
  <si>
    <t>Conferência da Associação Portuguesa de Sistemas de Informação</t>
  </si>
  <si>
    <t>CARLA</t>
  </si>
  <si>
    <t>Latin America High Performance Computing Conference</t>
  </si>
  <si>
    <t>CASA</t>
  </si>
  <si>
    <t>Conference on Computer Animation and Social Agents</t>
  </si>
  <si>
    <t>CASCON</t>
  </si>
  <si>
    <t>Annual International Conference on Computer Science and Software Engineering</t>
  </si>
  <si>
    <t>CASE</t>
  </si>
  <si>
    <t>IEEE Conference on Automation Science and Engineering</t>
  </si>
  <si>
    <t>CASES</t>
  </si>
  <si>
    <t>International Conference on Compilers, Architecture, and Synthesis for Embedded Systems</t>
  </si>
  <si>
    <t>CATA</t>
  </si>
  <si>
    <t>International Conference on Computers and their Applications</t>
  </si>
  <si>
    <t>CATE</t>
  </si>
  <si>
    <t>Computers and Advanced Technology in Education</t>
  </si>
  <si>
    <t>CAV</t>
  </si>
  <si>
    <t>International Conference on Computer Aided Verification</t>
  </si>
  <si>
    <t>CBA</t>
  </si>
  <si>
    <t>Congresso Brasileiro de Automática</t>
  </si>
  <si>
    <t>CBEB</t>
  </si>
  <si>
    <t>Congresso Brasileiro de Engenharia Biomédica</t>
  </si>
  <si>
    <t>CBI</t>
  </si>
  <si>
    <t>IEEE Conference on Business Informatics</t>
  </si>
  <si>
    <t>CBIC</t>
  </si>
  <si>
    <t>Congresso Brasileiro de Inteligência Computacional</t>
  </si>
  <si>
    <t>CBIS</t>
  </si>
  <si>
    <t>Congresso Brasileiro de Informática em Saúde</t>
  </si>
  <si>
    <t>CBMI</t>
  </si>
  <si>
    <t>International Workshop on Content-Based Multimedia Indexing</t>
  </si>
  <si>
    <t>CBMS</t>
  </si>
  <si>
    <t>International Symposium on Computer-Based Medical Systems</t>
  </si>
  <si>
    <t>CBS</t>
  </si>
  <si>
    <t>IEEE International Conference on Cyborg and Bionic Systems</t>
  </si>
  <si>
    <t>CBSF</t>
  </si>
  <si>
    <t>Congresso Brasileiro de Sistemas Fuzzy</t>
  </si>
  <si>
    <t>CBSoft</t>
  </si>
  <si>
    <t>Brazilian Conference on Software: Theory and Practice</t>
  </si>
  <si>
    <t>CBTMS</t>
  </si>
  <si>
    <t>Congresso Brasileiro de Telemedicina e Telesaúde</t>
  </si>
  <si>
    <t>CC</t>
  </si>
  <si>
    <t>International Conference on Compiler Construction</t>
  </si>
  <si>
    <t>CCC</t>
  </si>
  <si>
    <t>IEEE Conference on Computational Complexity</t>
  </si>
  <si>
    <t>CCCG</t>
  </si>
  <si>
    <t>Canadian Conference on Computational Geometry</t>
  </si>
  <si>
    <t>CCECE</t>
  </si>
  <si>
    <t>Canadian Conference on Electrical and Computer Engineering</t>
  </si>
  <si>
    <t>CCGRID</t>
  </si>
  <si>
    <t>IEEE/ACM International Symposium on Cluster, Cloud and Grid Computing</t>
  </si>
  <si>
    <t>CCNC</t>
  </si>
  <si>
    <t>Annual IEEE Consumer Communications &amp; Networking Conference</t>
  </si>
  <si>
    <t>CCS</t>
  </si>
  <si>
    <t>ACM Symposium on Computer and Communications Security</t>
  </si>
  <si>
    <t>CCSI</t>
  </si>
  <si>
    <t>Workshop on Core Computations on Spatial Information</t>
  </si>
  <si>
    <t>CDC</t>
  </si>
  <si>
    <t>IEEE Conference on Decision and Control</t>
  </si>
  <si>
    <t>CDH</t>
  </si>
  <si>
    <t>International Conference on Digital Health</t>
  </si>
  <si>
    <t>CDVE</t>
  </si>
  <si>
    <t>International Conference on Cooperative Design, Visualization, and Engineering</t>
  </si>
  <si>
    <t>CEC</t>
  </si>
  <si>
    <t>IEEE Congress on Evolutionary Computation</t>
  </si>
  <si>
    <t>CECC</t>
  </si>
  <si>
    <t>Central European Cybersecurity Conference</t>
  </si>
  <si>
    <t>CELDA</t>
  </si>
  <si>
    <t>Cognition and Exploratory Learning in Digital Age</t>
  </si>
  <si>
    <t>CENTERIS</t>
  </si>
  <si>
    <t>Conference on ENTERprise Information Systems</t>
  </si>
  <si>
    <t>CESI</t>
  </si>
  <si>
    <t>International Workshop on Conducting Empirical Studies in Industry</t>
  </si>
  <si>
    <t>CF</t>
  </si>
  <si>
    <t>ACM International Conference on Computing Frontiers</t>
  </si>
  <si>
    <t>CGI</t>
  </si>
  <si>
    <t>Computer Graphics International Conference</t>
  </si>
  <si>
    <t>CGO</t>
  </si>
  <si>
    <t>International Symposium on Code Generation and Optimization</t>
  </si>
  <si>
    <t>CHASE</t>
  </si>
  <si>
    <t>International Workshop on Cooperative and Human Aspects of Software Engineering</t>
  </si>
  <si>
    <t>CHES</t>
  </si>
  <si>
    <t>Conference on Cryptographic Hardware and Embedded Systems</t>
  </si>
  <si>
    <t>CHI</t>
  </si>
  <si>
    <t>ACM SIGKDD Conference on Knowledge Discovery and Data Mining</t>
  </si>
  <si>
    <t>CHIIR</t>
  </si>
  <si>
    <t>Conference on Human Information Interaction and Retrieval</t>
  </si>
  <si>
    <t>CHIPlay</t>
  </si>
  <si>
    <t>ACM SIGCHI Annual Symposium on Computer-Human Interaction in Play</t>
  </si>
  <si>
    <t>CIAC</t>
  </si>
  <si>
    <t>International Conference on Algorithms and Complexity</t>
  </si>
  <si>
    <t>CIARP</t>
  </si>
  <si>
    <t>Iberoamerican Congress on Pattern Recognition</t>
  </si>
  <si>
    <t>CIBCB</t>
  </si>
  <si>
    <t>IEEE Conference on Computational Intelligence in Bioinformatics and Computational Biology</t>
  </si>
  <si>
    <t>CIbSE</t>
  </si>
  <si>
    <t>Conferencia Iberoamericana de Software Engineering</t>
  </si>
  <si>
    <t>CIC</t>
  </si>
  <si>
    <t>International Conference on Collaboration and Internet Computing</t>
  </si>
  <si>
    <t>CICC</t>
  </si>
  <si>
    <t>IEEE Custom Integrated Circuits Conference</t>
  </si>
  <si>
    <t>CICLING</t>
  </si>
  <si>
    <t>International Conference on Intelligent Text Processing and Computational Linguistics</t>
  </si>
  <si>
    <t>CIDI</t>
  </si>
  <si>
    <t>Congresso Internacional de Design da Informação</t>
  </si>
  <si>
    <t>CIDM</t>
  </si>
  <si>
    <t>Symposium on Computational Intelligence and Data Mining</t>
  </si>
  <si>
    <t>CIDR</t>
  </si>
  <si>
    <t>Biennial Conference on Innovative Data Systems Research</t>
  </si>
  <si>
    <t>CIG</t>
  </si>
  <si>
    <t>IEEE Conference on Computational Intelligence and Games</t>
  </si>
  <si>
    <t>CIKM</t>
  </si>
  <si>
    <t>ACM International Conference on Information and Knowledge Management</t>
  </si>
  <si>
    <t>CILAMCE</t>
  </si>
  <si>
    <t>Iberian Latin American Congress on Computational Methods</t>
  </si>
  <si>
    <t>CISCI</t>
  </si>
  <si>
    <t>Conferencia Iberoamericana en Sistemas, Cibernética e Informática</t>
  </si>
  <si>
    <t>CISIS</t>
  </si>
  <si>
    <t>International Conference on Complex, Intelligent, and Software Intensive Systems</t>
  </si>
  <si>
    <t>CISTI</t>
  </si>
  <si>
    <t>Iberian Conference on Information Systems and Technologies</t>
  </si>
  <si>
    <t>CIT</t>
  </si>
  <si>
    <t>IEEE International Conference on Computer and Information Technology</t>
  </si>
  <si>
    <t>CITS</t>
  </si>
  <si>
    <t>International Conference on Computer, Information, and Telecommunication Systems</t>
  </si>
  <si>
    <t>CL</t>
  </si>
  <si>
    <t>Corpus Linguistics Conference</t>
  </si>
  <si>
    <t>CLAIO</t>
  </si>
  <si>
    <t>Latin-Ibero-American Conference on Operations Research</t>
  </si>
  <si>
    <t>CLEF</t>
  </si>
  <si>
    <t>Conference and Labs of the Evaluation Forum</t>
  </si>
  <si>
    <t>CLEI</t>
  </si>
  <si>
    <t>Conferencia Latinoamericana de Informática</t>
  </si>
  <si>
    <t>CLIHC</t>
  </si>
  <si>
    <t>Latin American Conference on Human Computer Interaction</t>
  </si>
  <si>
    <t>CLOSER</t>
  </si>
  <si>
    <t>International Conference on Cloud Computing and Services Science</t>
  </si>
  <si>
    <t>CLOUD</t>
  </si>
  <si>
    <t>IEEE International Conference on Cloud Computing</t>
  </si>
  <si>
    <t>CloudCom</t>
  </si>
  <si>
    <t>IEEE International Conference on Cloud Computing Technology and Science</t>
  </si>
  <si>
    <t>CLOUDCOMPUTING-IARIA</t>
  </si>
  <si>
    <t>IARIA International Conference on Cloud Computing, GRIDs, and Virtualization</t>
  </si>
  <si>
    <t>CLOUDDB</t>
  </si>
  <si>
    <t>IEEE International workshop on Cloud data management</t>
  </si>
  <si>
    <t>CloudNet</t>
  </si>
  <si>
    <t>IEEE International Conference on Cloud Networking</t>
  </si>
  <si>
    <t>CLOUDTECH</t>
  </si>
  <si>
    <t>International Conference on Cloud Computing Technologies and Applications</t>
  </si>
  <si>
    <t>CLUSTER</t>
  </si>
  <si>
    <t>IEEE International Conference on Cluster Computing</t>
  </si>
  <si>
    <t>CMMR</t>
  </si>
  <si>
    <t>International Symposium on Computer Music Multidisciplinary Research</t>
  </si>
  <si>
    <t>CMN</t>
  </si>
  <si>
    <t>Congress on Numerical Methods in Engineering</t>
  </si>
  <si>
    <t>CNMAC</t>
  </si>
  <si>
    <t>Congresso Nacional de Matemática Aplicada e Computacional</t>
  </si>
  <si>
    <t>CNS</t>
  </si>
  <si>
    <t>IEEE Conference on Communications and Network Security</t>
  </si>
  <si>
    <t>CNSM</t>
  </si>
  <si>
    <t>International Conference on Network and Service Management</t>
  </si>
  <si>
    <t>CoARCH</t>
  </si>
  <si>
    <t>Workshop On Computing Techniques For Spatio-Temporal Data in Archaeology And Cultural Heritage</t>
  </si>
  <si>
    <t>COCOA</t>
  </si>
  <si>
    <t>International Conference on Combinatorial Optimization and Applications</t>
  </si>
  <si>
    <t>COCOON</t>
  </si>
  <si>
    <t>International Computing and Combinatorics Conference</t>
  </si>
  <si>
    <t>CODASPY</t>
  </si>
  <si>
    <t>ACM Conference on Data and Application Security and Privacy</t>
  </si>
  <si>
    <t>CODES+ISS</t>
  </si>
  <si>
    <t>IEEE/ACM/IFIP International Conference on Hardware/Software Codesign and System Synthesis</t>
  </si>
  <si>
    <t>COG</t>
  </si>
  <si>
    <t>IEEE Conference on Games</t>
  </si>
  <si>
    <t>COGNISE</t>
  </si>
  <si>
    <t>International Workshop on Cognitive Aspects of Information Systems Engineering</t>
  </si>
  <si>
    <t>COGSCI</t>
  </si>
  <si>
    <t>Annual Meeting of the Cognitive Science Society</t>
  </si>
  <si>
    <t>CogSIMA</t>
  </si>
  <si>
    <t>IEEE International Multi-Disciplinary Conference on Cognitive Methods in Situation Awareness and Decision Support</t>
  </si>
  <si>
    <t>ColCACI</t>
  </si>
  <si>
    <t>IEEE Colombian Conference on Applications in Computational Intelligence</t>
  </si>
  <si>
    <t>COLING</t>
  </si>
  <si>
    <t>International Conference on Computational Linguistics</t>
  </si>
  <si>
    <t>CollaborateCom</t>
  </si>
  <si>
    <t>International Conference on Collaborative Computing: Networking, Applications and Worksharing</t>
  </si>
  <si>
    <t>CollabTech</t>
  </si>
  <si>
    <t>International Conference on Collaboration Technologies and Social Computing</t>
  </si>
  <si>
    <t>COLT</t>
  </si>
  <si>
    <t>Conference on Learning Theory</t>
  </si>
  <si>
    <t>CoMeSySo</t>
  </si>
  <si>
    <t>Computational Methods in Systems and Software</t>
  </si>
  <si>
    <t>COMMA</t>
  </si>
  <si>
    <t>International Conference on Computational Models of Argument</t>
  </si>
  <si>
    <t>COMPSAC</t>
  </si>
  <si>
    <t>IEEE Computer Software and Applications Conference</t>
  </si>
  <si>
    <t>COMSNETS</t>
  </si>
  <si>
    <t>International Conference on Communication Systems &amp; NetworkS</t>
  </si>
  <si>
    <t>COMSOC</t>
  </si>
  <si>
    <t>International Workshop on Computational Social Choice</t>
  </si>
  <si>
    <t>CONCUR</t>
  </si>
  <si>
    <t>International Conference on Concurrency Theory</t>
  </si>
  <si>
    <t>CONEXT</t>
  </si>
  <si>
    <t>Conference on Emerging Network Experiment and Technology</t>
  </si>
  <si>
    <t>CONFIRM</t>
  </si>
  <si>
    <t>International Conference on Information Resources Management</t>
  </si>
  <si>
    <t>CONISOFT</t>
  </si>
  <si>
    <t>International Conference in Software Engineering Research and Innovation</t>
  </si>
  <si>
    <t>CoNLL</t>
  </si>
  <si>
    <t>Conference on Natural Language Learning</t>
  </si>
  <si>
    <t>CONTECSI</t>
  </si>
  <si>
    <t>International Conference on Information Systems and Technology Management</t>
  </si>
  <si>
    <t>CONTEXT-BPM</t>
  </si>
  <si>
    <t>International Workshop on Context for Business Process Management</t>
  </si>
  <si>
    <t>CONTROLO</t>
  </si>
  <si>
    <t>APCA International Conference on Automatic Control and Soft Computing</t>
  </si>
  <si>
    <t>CoopIS</t>
  </si>
  <si>
    <t>International Conference on Cooperative Information Systems</t>
  </si>
  <si>
    <t>CoRL</t>
  </si>
  <si>
    <t>Conference on Robot Learning</t>
  </si>
  <si>
    <t>COSIT</t>
  </si>
  <si>
    <t>International Conference on Spatial Information Theory</t>
  </si>
  <si>
    <t>COSN</t>
  </si>
  <si>
    <t>Conference on Online Social Networks</t>
  </si>
  <si>
    <t>COURB</t>
  </si>
  <si>
    <t>Workshop of Urban Computing</t>
  </si>
  <si>
    <t>CP</t>
  </si>
  <si>
    <t>International Conference on Principles and Practice of Constraint Programming</t>
  </si>
  <si>
    <t>CPM</t>
  </si>
  <si>
    <t>Annual Symposium on Combinatorial Pattern Matching</t>
  </si>
  <si>
    <t>CPP</t>
  </si>
  <si>
    <t>International Conference on Certified Programs and Proofs</t>
  </si>
  <si>
    <t>CRIWG</t>
  </si>
  <si>
    <t>International Workshop on Groupware</t>
  </si>
  <si>
    <t>CrownCom</t>
  </si>
  <si>
    <t>International Conference on Cognitive Radio Oriented Wireless Networks</t>
  </si>
  <si>
    <t>CRV</t>
  </si>
  <si>
    <t>Canadian Conference on Computer and Robot Vision</t>
  </si>
  <si>
    <t>CRYPTO</t>
  </si>
  <si>
    <t>International Cryptology Conference</t>
  </si>
  <si>
    <t>CSBC</t>
  </si>
  <si>
    <t>Congresso da Sociedade Brasileira de Computação</t>
  </si>
  <si>
    <t>CSBIO</t>
  </si>
  <si>
    <t>International Conference on Computational Systems-Biology and Bioinformatics</t>
  </si>
  <si>
    <t>CSCL</t>
  </si>
  <si>
    <t>International Conference on Computer Supported Collaborative Learning</t>
  </si>
  <si>
    <t>CSCN</t>
  </si>
  <si>
    <t>IEEE Conference on Standards for Communications and Networking</t>
  </si>
  <si>
    <t>CSCW</t>
  </si>
  <si>
    <t>ACM Conference on Computer Supported Cooperative Work &amp; Social Computing</t>
  </si>
  <si>
    <t>CSCWD</t>
  </si>
  <si>
    <t>IEEE International Conference on Computer Supported Cooperative Work in Design</t>
  </si>
  <si>
    <t>CSDS</t>
  </si>
  <si>
    <t>Conference of the System Dynamics Society</t>
  </si>
  <si>
    <t>CSE</t>
  </si>
  <si>
    <t>International Conference on Computational Science and Engineering</t>
  </si>
  <si>
    <t>CSEDU</t>
  </si>
  <si>
    <t>International Conference on Computer Supported Education</t>
  </si>
  <si>
    <t>CSEE&amp;T</t>
  </si>
  <si>
    <t>Conference on Software Engineering Education and Training</t>
  </si>
  <si>
    <t>CSF</t>
  </si>
  <si>
    <t>IEEE Computer Security Foundations Symposium</t>
  </si>
  <si>
    <t>CSI-SE</t>
  </si>
  <si>
    <t>International Workshop on Crowdsourcing in Software Engineering</t>
  </si>
  <si>
    <t>CSL</t>
  </si>
  <si>
    <t>Conference for Computer Science Logic</t>
  </si>
  <si>
    <t>CSMC</t>
  </si>
  <si>
    <t>Conference on Computer Simulation of Musical Creativity</t>
  </si>
  <si>
    <t>CSNDSP</t>
  </si>
  <si>
    <t>International Symposium on Communication Systems, Networks and Digital Signal Processing</t>
  </si>
  <si>
    <t>CSNet</t>
  </si>
  <si>
    <t>Cyber Security in Networking Conference</t>
  </si>
  <si>
    <t>CSOUND</t>
  </si>
  <si>
    <t>International CSound Conference</t>
  </si>
  <si>
    <t>CTE</t>
  </si>
  <si>
    <t>International Conference on Computational Thinking Education</t>
  </si>
  <si>
    <t>CTS</t>
  </si>
  <si>
    <t>International Conference on Collaboration and Technology</t>
  </si>
  <si>
    <t>CVPR</t>
  </si>
  <si>
    <t>IEEE Conference on Computer Vision and Pattern Recognition</t>
  </si>
  <si>
    <t>CVPRW</t>
  </si>
  <si>
    <t>IEEE Conference on Computer Vision and Pattern Recognition Workshops</t>
  </si>
  <si>
    <t>CyberSA</t>
  </si>
  <si>
    <t>International Conference on Cyber Situational Awareness, Data Analytics and Assessment</t>
  </si>
  <si>
    <t>CyberSecurity</t>
  </si>
  <si>
    <t>International Conference on Cyber Security And Protection Of Digital Services</t>
  </si>
  <si>
    <t>DAC</t>
  </si>
  <si>
    <t>Design Automation Conference</t>
  </si>
  <si>
    <t>DAFX</t>
  </si>
  <si>
    <t>International Conference on Digital Audio Effects</t>
  </si>
  <si>
    <t>DAMON</t>
  </si>
  <si>
    <t>International Workshop on Data Management on New Hardware</t>
  </si>
  <si>
    <t>DARS</t>
  </si>
  <si>
    <t>International Symposium on Distributed Autonomous Robotic Systems</t>
  </si>
  <si>
    <t>DASC</t>
  </si>
  <si>
    <t>IEEE International Conference on Dependable, Autonomic &amp; Secure Computing</t>
  </si>
  <si>
    <t>DASFAA</t>
  </si>
  <si>
    <t>International Conference on Database Systems for Advanced Applications</t>
  </si>
  <si>
    <t>DASIP</t>
  </si>
  <si>
    <t>Conference on Design and Architectures for Signal and Image Processing</t>
  </si>
  <si>
    <t>DATA</t>
  </si>
  <si>
    <t>International Conference on Data Science, Technology and Applications</t>
  </si>
  <si>
    <t>DATAANALYTICS-IARIA</t>
  </si>
  <si>
    <t>IARIA International Conference on Data Analytics</t>
  </si>
  <si>
    <t>DATE</t>
  </si>
  <si>
    <t>Design, Automation and Test in Europe Conference and Exhibition</t>
  </si>
  <si>
    <t>DAWAK</t>
  </si>
  <si>
    <t>International Conference on Big Data Analytics and Knowledge Discovery</t>
  </si>
  <si>
    <t>DBKD-AIARIA</t>
  </si>
  <si>
    <t>IARIA International Conference on Advances in Databases, Knowledge, and Data Applications</t>
  </si>
  <si>
    <t>DBSec</t>
  </si>
  <si>
    <t>IFIP WG 11.3 Conference on Data and Applications Security and Privacy</t>
  </si>
  <si>
    <t>DCAI</t>
  </si>
  <si>
    <t>International Symposium on Distributed Computing and Artificial Intelligence</t>
  </si>
  <si>
    <t>DCASE</t>
  </si>
  <si>
    <t>Workshop on Detection and Classification of Acoustic Scenes and Events</t>
  </si>
  <si>
    <t>DCC</t>
  </si>
  <si>
    <t>Data Compression Conference</t>
  </si>
  <si>
    <t>DCOSS</t>
  </si>
  <si>
    <t>International Conference on Distributed Computing in Sensor Systems</t>
  </si>
  <si>
    <t>DDECS</t>
  </si>
  <si>
    <t>IEEE International Symposium on Design and Diagnostics of Electronic Circuits and Systems</t>
  </si>
  <si>
    <t>DEBS</t>
  </si>
  <si>
    <t>International Conference on Distributed and Event-Based Systems</t>
  </si>
  <si>
    <t>DEPCOS</t>
  </si>
  <si>
    <t>International Conference on Dependability and Complex Systems</t>
  </si>
  <si>
    <t>DESAFIE</t>
  </si>
  <si>
    <t>Workshop de Desafios da Computação Aplicada à Educação</t>
  </si>
  <si>
    <t>DEXA</t>
  </si>
  <si>
    <t>International Conference on Database and Expert Systems Applications</t>
  </si>
  <si>
    <t>DFT</t>
  </si>
  <si>
    <t>IEEE International Symposium on Defect and Fault Tolerance in VLSI Systems</t>
  </si>
  <si>
    <t>DGCI</t>
  </si>
  <si>
    <t>Discrete Geometry for Computer Imagery</t>
  </si>
  <si>
    <t>DGO</t>
  </si>
  <si>
    <t>Annual International Conference on Digital Government Research</t>
  </si>
  <si>
    <t>DH</t>
  </si>
  <si>
    <t>Digital Heritage</t>
  </si>
  <si>
    <t>DIGRA</t>
  </si>
  <si>
    <t>Digital Games Research Association International Conference</t>
  </si>
  <si>
    <t>DILS</t>
  </si>
  <si>
    <t>International Conference on Data Integration in Life Sciences</t>
  </si>
  <si>
    <t>DIMVA</t>
  </si>
  <si>
    <t>International Conference on Detection of Intrusions and Malware, and Vulnerability Assessment</t>
  </si>
  <si>
    <t>DIS</t>
  </si>
  <si>
    <t>Conference on Designing Interactive Systems</t>
  </si>
  <si>
    <t>DISC</t>
  </si>
  <si>
    <t>International Symposium on Distributed Computing</t>
  </si>
  <si>
    <t>DIVANET</t>
  </si>
  <si>
    <t>ACM Symposium on Development and Analysis of Intelligent Vehicular Networks and Applications</t>
  </si>
  <si>
    <t>DL</t>
  </si>
  <si>
    <t>International Workshop on Description Logics</t>
  </si>
  <si>
    <t>DLS</t>
  </si>
  <si>
    <t>Dynamic Languages Symposium</t>
  </si>
  <si>
    <t>DMA</t>
  </si>
  <si>
    <t>International Conference on Data Mining and Applications</t>
  </si>
  <si>
    <t>DMSVIVA</t>
  </si>
  <si>
    <t>International DMS Conference on Visualization and Visual Languages</t>
  </si>
  <si>
    <t>DOCENG</t>
  </si>
  <si>
    <t>ACM Symposium on Document Engineering</t>
  </si>
  <si>
    <t>DOLAP</t>
  </si>
  <si>
    <t>International Workshop On Data Warehousing and OLAP</t>
  </si>
  <si>
    <t>DPM</t>
  </si>
  <si>
    <t>International Workshop on Data Privacy Management</t>
  </si>
  <si>
    <t>DRCN</t>
  </si>
  <si>
    <t>International Conference on the Design of Reliable Communication Networks</t>
  </si>
  <si>
    <t>DS</t>
  </si>
  <si>
    <t>International Conference on Discovery Science</t>
  </si>
  <si>
    <t>DS-RT</t>
  </si>
  <si>
    <t>IEEE/ACM International Symposium on Distributed Simulation and Real-Time Applications</t>
  </si>
  <si>
    <t>DSAA</t>
  </si>
  <si>
    <t>IEEE International Conference on Data Science and Advanced Analytics</t>
  </si>
  <si>
    <t>DSAI</t>
  </si>
  <si>
    <t>International Conference on Software Development for Enhancing Accessibility and Fighting Info-exclusion</t>
  </si>
  <si>
    <t>DSC</t>
  </si>
  <si>
    <t>IEEE Conference on Dependable and Secure Computing</t>
  </si>
  <si>
    <t>DSD</t>
  </si>
  <si>
    <t>Euromicro Conference on Digital System Design, Architectures, Methods and Tools</t>
  </si>
  <si>
    <t>DSN</t>
  </si>
  <si>
    <t>Annual IEEE/IFIP International Conference on Dependable Systems and Networks</t>
  </si>
  <si>
    <t>DSNW</t>
  </si>
  <si>
    <t>IEEE International Conference on Dependable Systems and Networks Workshops</t>
  </si>
  <si>
    <t>DSP</t>
  </si>
  <si>
    <t>International Conference on Digital Signal Processing</t>
  </si>
  <si>
    <t>DTIS</t>
  </si>
  <si>
    <t>Design &amp; Technology of Integrated Systems in Nanoscale Era</t>
  </si>
  <si>
    <t>DySPAN</t>
  </si>
  <si>
    <t>IEEE Symposium on New Frontiers in Dynamic Spectrum Access Networks</t>
  </si>
  <si>
    <t>EACL</t>
  </si>
  <si>
    <t>Conference of the European Chapter of the Association for Computational Linguistics</t>
  </si>
  <si>
    <t>EASE</t>
  </si>
  <si>
    <t>International Conference on Evaluation and Assessment in Software Engineering</t>
  </si>
  <si>
    <t>EATIS</t>
  </si>
  <si>
    <t>Euro American Conference on Telematics and Information Systems</t>
  </si>
  <si>
    <t>EC</t>
  </si>
  <si>
    <t>ACM conference on Economics and Computation</t>
  </si>
  <si>
    <t>EC-TEL</t>
  </si>
  <si>
    <t>European Conference on Technology Enhanced Learning</t>
  </si>
  <si>
    <t>ECAI</t>
  </si>
  <si>
    <t>European Conference on Artificial Intelligence</t>
  </si>
  <si>
    <t>ECASE</t>
  </si>
  <si>
    <t>IEEE/ACM International Workshop on Establishing the Community-Wide Infrastructure for Architecture-Based Software Engineering</t>
  </si>
  <si>
    <t>ECC</t>
  </si>
  <si>
    <t>European Control Conference</t>
  </si>
  <si>
    <t>ECCTD</t>
  </si>
  <si>
    <t>European Conference on Circuit Theory and Design</t>
  </si>
  <si>
    <t>ECCV</t>
  </si>
  <si>
    <t>European Conference on Computer Vision</t>
  </si>
  <si>
    <t>ECIR</t>
  </si>
  <si>
    <t>European Conference on Information Retrieval</t>
  </si>
  <si>
    <t>ECIS</t>
  </si>
  <si>
    <t>European Conference on Information Systems</t>
  </si>
  <si>
    <t>ECML</t>
  </si>
  <si>
    <t>European Conference on Machine Learning and Principles and Practice of Knowledge Discovery in Databases</t>
  </si>
  <si>
    <t>ECMR</t>
  </si>
  <si>
    <t>European Conference on Mobile Robots</t>
  </si>
  <si>
    <t>ECMS</t>
  </si>
  <si>
    <t>European Conference on Modelling and Simulation</t>
  </si>
  <si>
    <t>ECOOP</t>
  </si>
  <si>
    <t>European Conference on Object-Oriented Programming</t>
  </si>
  <si>
    <t>ECRTS</t>
  </si>
  <si>
    <t>Euromicro Conference on Real-Time Systems</t>
  </si>
  <si>
    <t>ECSA</t>
  </si>
  <si>
    <t>European Conference on Software Architecture</t>
  </si>
  <si>
    <t>ECSCW</t>
  </si>
  <si>
    <t>European Conference on Computer Supported Cooperative Work</t>
  </si>
  <si>
    <t>ECSQARU</t>
  </si>
  <si>
    <t>European Conference on Symbolic and Quantitative Approaches to Reasoning and Uncertainty</t>
  </si>
  <si>
    <t>EDBT</t>
  </si>
  <si>
    <t>International Conference on Extending Database Technology</t>
  </si>
  <si>
    <t>EDCC</t>
  </si>
  <si>
    <t>European Dependable Computing Conference</t>
  </si>
  <si>
    <t>EDGE</t>
  </si>
  <si>
    <t>International Conference on Edge Computing</t>
  </si>
  <si>
    <t>EDM</t>
  </si>
  <si>
    <t>International Conference on Educational Data Mining</t>
  </si>
  <si>
    <t>EDOC</t>
  </si>
  <si>
    <t>IEEE International Enterprise Distributed Object Computing Conference</t>
  </si>
  <si>
    <t>EDUCOMP</t>
  </si>
  <si>
    <t>Simpósio Brasileiro de Educação em Computação</t>
  </si>
  <si>
    <t>EDUCON</t>
  </si>
  <si>
    <t>IEEE Global Engineering Education Conference</t>
  </si>
  <si>
    <t>EECS</t>
  </si>
  <si>
    <t>European Conference on Electrical Engineering and Computer Science</t>
  </si>
  <si>
    <t>EEEWC</t>
  </si>
  <si>
    <t>International Conference on e-Learning, e-Business, Enterprise Information Systems, and e-Government</t>
  </si>
  <si>
    <t>EGOV</t>
  </si>
  <si>
    <t>International Conference on Electronic Government</t>
  </si>
  <si>
    <t>EGOV-CEDEM-EPART</t>
  </si>
  <si>
    <t>International Conference on Electronic Government/International Conference for E-Democracy and Open Government</t>
  </si>
  <si>
    <t>EGOVIS</t>
  </si>
  <si>
    <t>International Conference on Electronic Government and the Information Systems Perspective</t>
  </si>
  <si>
    <t>EICS</t>
  </si>
  <si>
    <t>ACM SIGCHI Symposium on Engineering Interactive Computing Systems</t>
  </si>
  <si>
    <t>EIT</t>
  </si>
  <si>
    <t>International Conference on Electro Information Technology</t>
  </si>
  <si>
    <t>EJC</t>
  </si>
  <si>
    <t>International Conference on Information Modeling and Knowledge</t>
  </si>
  <si>
    <t>EM-GIS</t>
  </si>
  <si>
    <t>International Workshop on the Use of GIS in Emergency Management</t>
  </si>
  <si>
    <t>EMAS</t>
  </si>
  <si>
    <t>International Workshop on Engineering Multiagent Systems</t>
  </si>
  <si>
    <t>EMBC</t>
  </si>
  <si>
    <t>Annual International Conference of the IEEE Engineering in Medicine and Biology Society</t>
  </si>
  <si>
    <t>EMBS</t>
  </si>
  <si>
    <t>IEEE-EMBS International Conference on Biomedical and Health Informatics</t>
  </si>
  <si>
    <t>EMNLP</t>
  </si>
  <si>
    <t>Conference on Empirical Methods in Natural Language Processing</t>
  </si>
  <si>
    <t>EMO</t>
  </si>
  <si>
    <t>International Conference on Evolutionary Multi-Criterion Optimization</t>
  </si>
  <si>
    <t>EMSOFT</t>
  </si>
  <si>
    <t>ACM International Conference on Embedded Software</t>
  </si>
  <si>
    <t>ENANPAD</t>
  </si>
  <si>
    <t>Encontro Nacional da Associação Nacional de Pós-Graduação e Pesquisa em Administração</t>
  </si>
  <si>
    <t>ENASE</t>
  </si>
  <si>
    <t>International Conference on Evaluation of Novel Approaches to Software Engineering</t>
  </si>
  <si>
    <t>ENCP</t>
  </si>
  <si>
    <t>ACM CoNEXT Workshop on Emerging in-Network Computing Paradigms</t>
  </si>
  <si>
    <t>ENIAC</t>
  </si>
  <si>
    <t>Encontro Nacional de Inteligencia Artificial e Computacional</t>
  </si>
  <si>
    <t>EPIA</t>
  </si>
  <si>
    <t>Portuguese Conference on Artificial Intelligence</t>
  </si>
  <si>
    <t>ER</t>
  </si>
  <si>
    <t>International Conference on Conceptual Modeling</t>
  </si>
  <si>
    <t>Ergodesign</t>
  </si>
  <si>
    <t>Congresso Internacional de Ergonomia e Usabilidade de Interfaces Humano Tecnológica</t>
  </si>
  <si>
    <t>ESA</t>
  </si>
  <si>
    <t>European Symposium on Algorithms</t>
  </si>
  <si>
    <t>ESANN</t>
  </si>
  <si>
    <t>European Symposium on Artificial Neural Networks, Computational Intelligence and Machine Learning</t>
  </si>
  <si>
    <t>ESCIENCE</t>
  </si>
  <si>
    <t>IEEE International Conference on e-Science</t>
  </si>
  <si>
    <t>ESELAW</t>
  </si>
  <si>
    <t>Workshop Latinoamericano de Ingeniería de Software Experimental</t>
  </si>
  <si>
    <t>ESEM</t>
  </si>
  <si>
    <t>ACM/IEEE International Symposium on Empirical Software Engineering and Measurement</t>
  </si>
  <si>
    <t>ESOCC</t>
  </si>
  <si>
    <t>European Conference on Service-Oriented and Cloud Computing</t>
  </si>
  <si>
    <t>ESOP</t>
  </si>
  <si>
    <t>European Symposium on Programming</t>
  </si>
  <si>
    <t>ESORICS</t>
  </si>
  <si>
    <t>European Symposium on Research in Computer Security</t>
  </si>
  <si>
    <t>ESSCIRC</t>
  </si>
  <si>
    <t>European Solid State Circuits Conference</t>
  </si>
  <si>
    <t>ESSDERC</t>
  </si>
  <si>
    <t>European Solid State Device Research Conference</t>
  </si>
  <si>
    <t>ESWC</t>
  </si>
  <si>
    <t>Extended Semantic Web Conference</t>
  </si>
  <si>
    <t>ESWS</t>
  </si>
  <si>
    <t>European Semantic Web Conference</t>
  </si>
  <si>
    <t>ETC</t>
  </si>
  <si>
    <t>Encontro de Teoria da Computação</t>
  </si>
  <si>
    <t>ETFA</t>
  </si>
  <si>
    <t>IEEE International Conference on Emerging Technologies and Factory Automation</t>
  </si>
  <si>
    <t>ETRA</t>
  </si>
  <si>
    <t>ACM Symposium on Eye Tracking Research &amp; Applications</t>
  </si>
  <si>
    <t>ETS</t>
  </si>
  <si>
    <t>IEEE European Test Symposium</t>
  </si>
  <si>
    <t>EUC</t>
  </si>
  <si>
    <t>IEEE/IFIP International Conferences on Embedded and Ubiquitous Computing</t>
  </si>
  <si>
    <t>EuCNC</t>
  </si>
  <si>
    <t>European Conference on Networks and Communications</t>
  </si>
  <si>
    <t>EUMAS</t>
  </si>
  <si>
    <t>European Conference on Multi-Agent Systems</t>
  </si>
  <si>
    <t>EURO</t>
  </si>
  <si>
    <t>European Conference on Operational Research</t>
  </si>
  <si>
    <t>EUROCOMB</t>
  </si>
  <si>
    <t>European Conference on Combinatorics, Graph Theory and Applications</t>
  </si>
  <si>
    <t>EUROCRYPT</t>
  </si>
  <si>
    <t>International Conference on Theory and Applications of Cryptographic Techniques</t>
  </si>
  <si>
    <t>EUROGRAPHICS</t>
  </si>
  <si>
    <t>European Association for Computer Graphics</t>
  </si>
  <si>
    <t>EUROHAPTICS</t>
  </si>
  <si>
    <t>Eurohaptics</t>
  </si>
  <si>
    <t>EuroMPI</t>
  </si>
  <si>
    <t>European MPI Users Group Meeting</t>
  </si>
  <si>
    <t>EUROPAR</t>
  </si>
  <si>
    <t>European Conference on Parallel Computing</t>
  </si>
  <si>
    <t>EuroPloP</t>
  </si>
  <si>
    <t>European Conference on Pattern Languages of Programs</t>
  </si>
  <si>
    <t>EuroSPI</t>
  </si>
  <si>
    <t>European Conference on Software Process Improvement</t>
  </si>
  <si>
    <t>EUROSYS</t>
  </si>
  <si>
    <t>European Conference on Computer Systems</t>
  </si>
  <si>
    <t>EuroVis</t>
  </si>
  <si>
    <t>EG/VGTC Conference on Visualization</t>
  </si>
  <si>
    <t>EUSFLAT</t>
  </si>
  <si>
    <t>Conference of the European Society for Fuzzy Logic and Technology</t>
  </si>
  <si>
    <t>EUSIPCO</t>
  </si>
  <si>
    <t>European Signal Processing Conference</t>
  </si>
  <si>
    <t>EVOAPPLICATIONS</t>
  </si>
  <si>
    <t>European Conference on the Applications of Evolutionary Computation</t>
  </si>
  <si>
    <t>EVOCOP</t>
  </si>
  <si>
    <t>European Conference on Evolutionary Computation in Combinatorial Optimization</t>
  </si>
  <si>
    <t>EWC</t>
  </si>
  <si>
    <t>Embedded Word Conference</t>
  </si>
  <si>
    <t>EWSDN</t>
  </si>
  <si>
    <t>European Workshop on Software Defined Networks</t>
  </si>
  <si>
    <t>EWSN</t>
  </si>
  <si>
    <t>European Conference on Wireless Sensor Networks</t>
  </si>
  <si>
    <t>EXP.AT</t>
  </si>
  <si>
    <t>Experiment@ International Conference</t>
  </si>
  <si>
    <t>FACS</t>
  </si>
  <si>
    <t>International Conference on Formal Aspects of Component Software</t>
  </si>
  <si>
    <t>FASE</t>
  </si>
  <si>
    <t>International Conference on Fundamental Approaches to Software Engineering</t>
  </si>
  <si>
    <t>FAST</t>
  </si>
  <si>
    <t>USENIX Conference on File and Storage Technologies</t>
  </si>
  <si>
    <t>FC</t>
  </si>
  <si>
    <t>International Conference on Financial Cryptography and Data Security</t>
  </si>
  <si>
    <t>FCCM</t>
  </si>
  <si>
    <t>IEEE Annual International Symposium on Field-Programmable Custom Computing Machines</t>
  </si>
  <si>
    <t>FCT</t>
  </si>
  <si>
    <t>International Symposium on Fundamentals of Computation Theory</t>
  </si>
  <si>
    <t>FCTA</t>
  </si>
  <si>
    <t>International Conference on Fuzzy Computation Theory and Applications</t>
  </si>
  <si>
    <t>FDG</t>
  </si>
  <si>
    <t>Foundations of Digital Games</t>
  </si>
  <si>
    <t>FDL</t>
  </si>
  <si>
    <t>Forum on Specification and Design Languages</t>
  </si>
  <si>
    <t>FECS</t>
  </si>
  <si>
    <t>International Conference on Frontiers in Education: Computer Science and Computer Engineering</t>
  </si>
  <si>
    <t>FEDCSIS</t>
  </si>
  <si>
    <t>Federated Conference on Computer Science and Information Systems</t>
  </si>
  <si>
    <t>FGR</t>
  </si>
  <si>
    <t>IEEE International Conference on Automatic Face and Gesture Recognition</t>
  </si>
  <si>
    <t>FiCloud</t>
  </si>
  <si>
    <t>International Conference on Future Internet of Things and Cloud</t>
  </si>
  <si>
    <t>FIE</t>
  </si>
  <si>
    <t>IEEE Frontiers in Education Conference</t>
  </si>
  <si>
    <t>FIT</t>
  </si>
  <si>
    <t>International Conference on Forntiers of Information Technology</t>
  </si>
  <si>
    <t>FLAIRS</t>
  </si>
  <si>
    <t>International Florida Artificial Intelligence Conference</t>
  </si>
  <si>
    <t>FLOPS</t>
  </si>
  <si>
    <t>International Symposium on Functional and Logic Programming</t>
  </si>
  <si>
    <t>FM</t>
  </si>
  <si>
    <t>International Symposium on Formal Methods</t>
  </si>
  <si>
    <t>FMCAD</t>
  </si>
  <si>
    <t>International Conference on Formal Methods in Computer-Aided Design</t>
  </si>
  <si>
    <t>FOCS</t>
  </si>
  <si>
    <t>IEEE Annual Symposium on Foundations of Computer Science</t>
  </si>
  <si>
    <t>FOIS</t>
  </si>
  <si>
    <t>International Conference on Formal Ontology in Information Systems</t>
  </si>
  <si>
    <t>FormaliSE</t>
  </si>
  <si>
    <t>International Conference on Formal Methods in Software Engineering</t>
  </si>
  <si>
    <t>FOSD</t>
  </si>
  <si>
    <t>International Workshop on Feature-Oriented Software Development</t>
  </si>
  <si>
    <t>FoSSaCS</t>
  </si>
  <si>
    <t>International Conference on Foundations of Software Science and Computation Structures</t>
  </si>
  <si>
    <t>FPGA</t>
  </si>
  <si>
    <t>Symposium on Field Programmable Gate Arrays</t>
  </si>
  <si>
    <t>FPL</t>
  </si>
  <si>
    <t>International Conference on Field-Programmable Logic and Applications</t>
  </si>
  <si>
    <t>FPT</t>
  </si>
  <si>
    <t>IEEE International Conference on Field-Programmable Technology</t>
  </si>
  <si>
    <t>FROCOS</t>
  </si>
  <si>
    <t>International Symposium on Frontiers of Combining Systems</t>
  </si>
  <si>
    <t>FSCD</t>
  </si>
  <si>
    <t>International Conference on Formal Structures for Computation and Deduction</t>
  </si>
  <si>
    <t>Fast Software Encryption</t>
  </si>
  <si>
    <t>FSEN</t>
  </si>
  <si>
    <t>International Conference on Fundamentals of Software Engineering</t>
  </si>
  <si>
    <t>FSR</t>
  </si>
  <si>
    <t>Conference on Field and Service Robotics</t>
  </si>
  <si>
    <t>FTC</t>
  </si>
  <si>
    <t>Future Technologies Conference</t>
  </si>
  <si>
    <t>FUN</t>
  </si>
  <si>
    <t>International Conference on Fun with Algorithms</t>
  </si>
  <si>
    <t>FUSION</t>
  </si>
  <si>
    <t>International Conference on Information Fusion</t>
  </si>
  <si>
    <t>FUZZ</t>
  </si>
  <si>
    <t>IEEE International Conference on Fuzzy Systems</t>
  </si>
  <si>
    <t>GameSec</t>
  </si>
  <si>
    <t>Conference on Decision and Game Theory for Security</t>
  </si>
  <si>
    <t>GAS</t>
  </si>
  <si>
    <t>International Workshop on Games and Software Engineering</t>
  </si>
  <si>
    <t>GbRPR</t>
  </si>
  <si>
    <t>International Workshop on Graph-Based Representations in Pattern Recognition</t>
  </si>
  <si>
    <t>GECCO</t>
  </si>
  <si>
    <t>Genetic and Evolutionary Computation Conference</t>
  </si>
  <si>
    <t>GECON</t>
  </si>
  <si>
    <t>International Conference on Economics of Grids, Clouds, Systems and Services</t>
  </si>
  <si>
    <t>GEFI</t>
  </si>
  <si>
    <t>Global Experimentation for Future Internet</t>
  </si>
  <si>
    <t>GEM</t>
  </si>
  <si>
    <t>IEEE Games, Entertainment, Media Conference</t>
  </si>
  <si>
    <t>GeoAI</t>
  </si>
  <si>
    <t>International Workshop on AI for Geographic Knowledge Discovery</t>
  </si>
  <si>
    <t>GEOBIA</t>
  </si>
  <si>
    <t>Geographic Object-based Image Analysis</t>
  </si>
  <si>
    <t>GEOINFO</t>
  </si>
  <si>
    <t>Brazilian Symposium on GeoInformatics</t>
  </si>
  <si>
    <t>GeoPROCESSING-IARIA</t>
  </si>
  <si>
    <t>IARIA International Conference on Advanced Geographic Information Systems, Applications, and Services</t>
  </si>
  <si>
    <t>GeoSim</t>
  </si>
  <si>
    <t>International Workshop on Geospatial Simulation</t>
  </si>
  <si>
    <t>GI</t>
  </si>
  <si>
    <t>Graphics Interface Conference</t>
  </si>
  <si>
    <t>GIIS</t>
  </si>
  <si>
    <t>Global Information Infrastructure and Networking Symposium</t>
  </si>
  <si>
    <t>GIR</t>
  </si>
  <si>
    <t>Workshop on Geographic Information Retrieval</t>
  </si>
  <si>
    <t>GIScience</t>
  </si>
  <si>
    <t>International Conference on Geographic Information Science</t>
  </si>
  <si>
    <t>GLOBALSIP</t>
  </si>
  <si>
    <t>Global Conference on Signal and Information Processing</t>
  </si>
  <si>
    <t>GLOBECOM</t>
  </si>
  <si>
    <t>IEEE Global Communications Conference</t>
  </si>
  <si>
    <t>GLSVLSI</t>
  </si>
  <si>
    <t>Great Lakes Symposium on VLSI</t>
  </si>
  <si>
    <t>GPC</t>
  </si>
  <si>
    <t>International Conference on Grid And Pervasive Computing</t>
  </si>
  <si>
    <t>GPCE</t>
  </si>
  <si>
    <t>ACM International Conference on Generative Programming: Concepts and Experiences</t>
  </si>
  <si>
    <t>GRAPP</t>
  </si>
  <si>
    <t>International Conference on Computer Graphics Theory and Applications</t>
  </si>
  <si>
    <t>GreenCom</t>
  </si>
  <si>
    <t>IEEE International Conference on Green Computing and Communications</t>
  </si>
  <si>
    <t>GROUP</t>
  </si>
  <si>
    <t>International Conference on Supporting Group Work</t>
  </si>
  <si>
    <t>GVIZ</t>
  </si>
  <si>
    <t>Workshop on New Directions in Geovisual Analytics</t>
  </si>
  <si>
    <t>GWN</t>
  </si>
  <si>
    <t>International Global Wordnet Conference</t>
  </si>
  <si>
    <t>HAIS</t>
  </si>
  <si>
    <t>International Conference on Hybrid Artificial Intelligence Systems</t>
  </si>
  <si>
    <t>HAPTICS</t>
  </si>
  <si>
    <t>IEEE Haptics Symposium</t>
  </si>
  <si>
    <t>HASE</t>
  </si>
  <si>
    <t>IEEE International Symposium on High Assurance Systems Engineering</t>
  </si>
  <si>
    <t>HCOMP</t>
  </si>
  <si>
    <t>AAAI Conference on Human Computation and Crowdsourcing</t>
  </si>
  <si>
    <t>HCSE</t>
  </si>
  <si>
    <t>International Conference on Human-Centered Software Engineering</t>
  </si>
  <si>
    <t>HEALTHCOM</t>
  </si>
  <si>
    <t>IEEE International Conference on E-health Networking, Application &amp; Services</t>
  </si>
  <si>
    <t>HEALTHINF</t>
  </si>
  <si>
    <t>International Conference on Health Informatics</t>
  </si>
  <si>
    <t>HEALTHINFO</t>
  </si>
  <si>
    <t>International Conference on Informatics and Assistive Technologies for Health-Care, Medical Support and Wellbeing</t>
  </si>
  <si>
    <t>HICSS</t>
  </si>
  <si>
    <t>Hawaii International Conference on System Sciences</t>
  </si>
  <si>
    <t>HILDA</t>
  </si>
  <si>
    <t>Workshop on Human-In-the-Loop Data Analytics</t>
  </si>
  <si>
    <t>HIMS</t>
  </si>
  <si>
    <t>International Conference on Health Informatics and Medical Systems</t>
  </si>
  <si>
    <t>HIPC</t>
  </si>
  <si>
    <t>IEEE International Conference on High Performance Computing</t>
  </si>
  <si>
    <t>HIS</t>
  </si>
  <si>
    <t>International Conference on Hybrid Intelligent Systems</t>
  </si>
  <si>
    <t>HM</t>
  </si>
  <si>
    <t>International Workshop on Hybrid Metaheuristics</t>
  </si>
  <si>
    <t>HOST</t>
  </si>
  <si>
    <t>IEEE International Symposium on Hardware Oriented Security and Trust</t>
  </si>
  <si>
    <t>HOTNETS</t>
  </si>
  <si>
    <t>ACM Workshop on Hot Topics in Networks</t>
  </si>
  <si>
    <t>HPCA</t>
  </si>
  <si>
    <t>IEEE International Symposium on High Performance Computer Architecture</t>
  </si>
  <si>
    <t>HPCC</t>
  </si>
  <si>
    <t>International Conference on High Performance Computing and Communications</t>
  </si>
  <si>
    <t>HPCS</t>
  </si>
  <si>
    <t>International Conference on High Performance Computing &amp; Simulation</t>
  </si>
  <si>
    <t>HPDC</t>
  </si>
  <si>
    <t>International Symposium on High Performance Distributed Computing</t>
  </si>
  <si>
    <t>HPSR</t>
  </si>
  <si>
    <t>IEEE High Performance Switching and Routing</t>
  </si>
  <si>
    <t>HRI</t>
  </si>
  <si>
    <t>ACM/IEEE International Conference on Human Robot Interaction</t>
  </si>
  <si>
    <t>HS</t>
  </si>
  <si>
    <t>Haskell Symposium</t>
  </si>
  <si>
    <t>HSCC</t>
  </si>
  <si>
    <t>International Conference on Hybrid Systems: Computation and Control</t>
  </si>
  <si>
    <t>HT</t>
  </si>
  <si>
    <t>ACM Conference on Hypertext and Social Media</t>
  </si>
  <si>
    <t>Humanoids</t>
  </si>
  <si>
    <t>IEEE RAS International Conference on Humanoid Robot</t>
  </si>
  <si>
    <t>Hypertext</t>
  </si>
  <si>
    <t>ACM Conference on Hypertext and Hypermedia</t>
  </si>
  <si>
    <t>i-SAIRAS</t>
  </si>
  <si>
    <t>International Symposium on Artificial Intelligence, Robotics and Automation in Space</t>
  </si>
  <si>
    <t>I/ITSEC</t>
  </si>
  <si>
    <t>Interservice/Industry Training, Simulation &amp; Education Conference</t>
  </si>
  <si>
    <t>I2MTC</t>
  </si>
  <si>
    <t>IEEE International Instrumentation and Measurement Technology Conference</t>
  </si>
  <si>
    <t>I3D</t>
  </si>
  <si>
    <t>ACM SIGGRAPH Symposium on Interactive 3D Graphics and Games</t>
  </si>
  <si>
    <t>IAAI</t>
  </si>
  <si>
    <t>International Conference of the Italian Association for Artificial Intelligence</t>
  </si>
  <si>
    <t>IAS</t>
  </si>
  <si>
    <t>Industry Applications Society Annual Meeting</t>
  </si>
  <si>
    <t>IAV</t>
  </si>
  <si>
    <t>IFAC Symposium on Intelligent Autonomous Vehicles</t>
  </si>
  <si>
    <t>IBERAMIA</t>
  </si>
  <si>
    <t>Ibero-American Conference on Artificial Intelligence</t>
  </si>
  <si>
    <t>IBERCHIP</t>
  </si>
  <si>
    <t>Workshop Iberchip</t>
  </si>
  <si>
    <t>IC2E</t>
  </si>
  <si>
    <t>IEEE International Conference on Cloud Engineering</t>
  </si>
  <si>
    <t>IC3K</t>
  </si>
  <si>
    <t>International Joint Conference on Knowledge Discovery, Knowledge Engineering and Knowledge Management</t>
  </si>
  <si>
    <t>ICA3PP</t>
  </si>
  <si>
    <t>International Conference on Algorithms and Architectures for Parallel Processing</t>
  </si>
  <si>
    <t>ICAART</t>
  </si>
  <si>
    <t>International Conference on Agents and Artificial Intelligence</t>
  </si>
  <si>
    <t>ICAI</t>
  </si>
  <si>
    <t>International Conference on Applied Informatics</t>
  </si>
  <si>
    <t>ICAISC</t>
  </si>
  <si>
    <t>International Conference on Artificial Intelligence and Soft Computing</t>
  </si>
  <si>
    <t>ICAIWC</t>
  </si>
  <si>
    <t>International Conference on Artificial Intelligence</t>
  </si>
  <si>
    <t>ICALP</t>
  </si>
  <si>
    <t>International Colloquium on Automata, Languages, and Programming</t>
  </si>
  <si>
    <t>ICALT</t>
  </si>
  <si>
    <t>IEEE International Conference on Advanced Learning Technologies</t>
  </si>
  <si>
    <t>ICANN</t>
  </si>
  <si>
    <t>International Conference on Artificial Neural Networks</t>
  </si>
  <si>
    <t>ICAPS</t>
  </si>
  <si>
    <t>International Conference on Automated Planning and Scheduling</t>
  </si>
  <si>
    <t>ICAR</t>
  </si>
  <si>
    <t>International Conference on Advanced Robotics</t>
  </si>
  <si>
    <t>ICARA</t>
  </si>
  <si>
    <t>International Conference on Automation, Robotics and Applications</t>
  </si>
  <si>
    <t>ICARM</t>
  </si>
  <si>
    <t>International Conference on Advanced Robotics and Mechatronics</t>
  </si>
  <si>
    <t>ICAROB</t>
  </si>
  <si>
    <t>International Conference on Artificial Life and Robotics</t>
  </si>
  <si>
    <t>ICARSC</t>
  </si>
  <si>
    <t>IEEE International Conference on Autonomous Robot Systems and Competitions</t>
  </si>
  <si>
    <t>ICARV</t>
  </si>
  <si>
    <t>International Conference on Control, Automation, Robotics and Vision</t>
  </si>
  <si>
    <t>ICAS-IARIA</t>
  </si>
  <si>
    <t>IARIA International Conference on Autonomic and Autonomous Systems</t>
  </si>
  <si>
    <t>ICASSP</t>
  </si>
  <si>
    <t>IEEE International Conference on Acoustics, Speech and Signal Processing</t>
  </si>
  <si>
    <t>ICB</t>
  </si>
  <si>
    <t>International Conference on Biometrics</t>
  </si>
  <si>
    <t>ICBC</t>
  </si>
  <si>
    <t>IEEE International Conference on Blockchain and Cryptocurrency</t>
  </si>
  <si>
    <t>ICBIP</t>
  </si>
  <si>
    <t>International Conference on Biomedical Signal and Image Processing</t>
  </si>
  <si>
    <t>ICBK</t>
  </si>
  <si>
    <t>International Conference on Big Knowledge</t>
  </si>
  <si>
    <t>ICBL</t>
  </si>
  <si>
    <t>International Conference on Interactive Collaborative and Blended Learning</t>
  </si>
  <si>
    <t>ICC</t>
  </si>
  <si>
    <t>IEEE International Conference on Communications</t>
  </si>
  <si>
    <t>ICCA</t>
  </si>
  <si>
    <t>IEEE International Conference on Control and Automation</t>
  </si>
  <si>
    <t>ICCABS</t>
  </si>
  <si>
    <t>International Conference on Computational Advances in Bio and Medical Sciences</t>
  </si>
  <si>
    <t>ICCAD</t>
  </si>
  <si>
    <t>IEEE/ACM International Conference on Computer-Aided Design</t>
  </si>
  <si>
    <t>ICCAR</t>
  </si>
  <si>
    <t>International Conference on Control, Automation and Robotics</t>
  </si>
  <si>
    <t>ICCC</t>
  </si>
  <si>
    <t>International Conference on Computational Creativity</t>
  </si>
  <si>
    <t>ICCCBE</t>
  </si>
  <si>
    <t>International Conference on Computing in Civil and Building Engineering</t>
  </si>
  <si>
    <t>ICCCN</t>
  </si>
  <si>
    <t>International Conference on Computer Communications and Networks</t>
  </si>
  <si>
    <t>ICCD</t>
  </si>
  <si>
    <t>International Conference on Computer Design</t>
  </si>
  <si>
    <t>ICCDCS</t>
  </si>
  <si>
    <t>International Caribbean Conference on Devices, Circuits and Systems</t>
  </si>
  <si>
    <t>ICCE-EDU</t>
  </si>
  <si>
    <t>International Conference on Computers in Education</t>
  </si>
  <si>
    <t>iCCECE</t>
  </si>
  <si>
    <t>International Conference on Computing, Electronics &amp; Communications Engineering</t>
  </si>
  <si>
    <t>ICCHP</t>
  </si>
  <si>
    <t>International Conference on Computers Helping People with Special Needs</t>
  </si>
  <si>
    <t>ICCL2</t>
  </si>
  <si>
    <t>International Conference on Computational Logistics</t>
  </si>
  <si>
    <t>ICCP</t>
  </si>
  <si>
    <t>IEEE International Conference on Intelligent Computer Communication and Processing</t>
  </si>
  <si>
    <t>ICCPR</t>
  </si>
  <si>
    <t>International Conference on Computing and Pattern Recognition</t>
  </si>
  <si>
    <t>ICCPS</t>
  </si>
  <si>
    <t>International Conference on Cyber-Physical Systems</t>
  </si>
  <si>
    <t>ICCS</t>
  </si>
  <si>
    <t>International Conference on Computational Science</t>
  </si>
  <si>
    <t>ICCSA</t>
  </si>
  <si>
    <t>International Conference on Computational Science and Its Applications</t>
  </si>
  <si>
    <t>ICCSPA</t>
  </si>
  <si>
    <t>International Conference on Communications, Signal Processing, and their Applications</t>
  </si>
  <si>
    <t>ICCStr</t>
  </si>
  <si>
    <t>International Conference on Conceptual Structures</t>
  </si>
  <si>
    <t>ICCTCC</t>
  </si>
  <si>
    <t>International Conference on Computability Theory, Computability and Complexity</t>
  </si>
  <si>
    <t>ICCV</t>
  </si>
  <si>
    <t>IEEE International Conference on Computer Vision</t>
  </si>
  <si>
    <t>ICCVW</t>
  </si>
  <si>
    <t>IEEE International Conference on Computer Vision Workshops</t>
  </si>
  <si>
    <t>ICCW</t>
  </si>
  <si>
    <t>IEEE International Conference on Communications Workshops</t>
  </si>
  <si>
    <t>ICDAR</t>
  </si>
  <si>
    <t>International Conference on Document Analysis and Recognition</t>
  </si>
  <si>
    <t>ICDCN</t>
  </si>
  <si>
    <t>International Conference on Distributed Computing and Networking</t>
  </si>
  <si>
    <t>ICDCS</t>
  </si>
  <si>
    <t>International Conference on Distributed Computing Systems</t>
  </si>
  <si>
    <t>ICDCSW</t>
  </si>
  <si>
    <t>International Conference on Distributed Computing Systems Workshops</t>
  </si>
  <si>
    <t>ICDE</t>
  </si>
  <si>
    <t>IEEE International Conference on Data Engineering</t>
  </si>
  <si>
    <t>ICDF</t>
  </si>
  <si>
    <t>IFIP International Conference on Digital Forensics</t>
  </si>
  <si>
    <t>ICDIM</t>
  </si>
  <si>
    <t>International Conference on Digital Information Management</t>
  </si>
  <si>
    <t>ICDIP</t>
  </si>
  <si>
    <t>International Conference on Digital Image Processing</t>
  </si>
  <si>
    <t>ICDL-EpiRob</t>
  </si>
  <si>
    <t>IEEE International Conference on Development and Learning and Epigenetic Robotics</t>
  </si>
  <si>
    <t>ICDM</t>
  </si>
  <si>
    <t>IEEE International Conference on Data Mining</t>
  </si>
  <si>
    <t>ICDMW</t>
  </si>
  <si>
    <t>IEEE International Conference on Data Mining Workshop</t>
  </si>
  <si>
    <t>ICDT</t>
  </si>
  <si>
    <t>International Conference on Database Theory</t>
  </si>
  <si>
    <t>ICE-CCN</t>
  </si>
  <si>
    <t>International Conference on Emerging Trends in Computing, Communication and Nanotechnology</t>
  </si>
  <si>
    <t>ICEBE</t>
  </si>
  <si>
    <t>IEEE International Conference on e-Business Engineering</t>
  </si>
  <si>
    <t>ICEC</t>
  </si>
  <si>
    <t>IFIP International Conference on Entertainment Computing</t>
  </si>
  <si>
    <t>ICECS</t>
  </si>
  <si>
    <t>IEEE International Conference on Electronics, Circuits and Systems</t>
  </si>
  <si>
    <t>ICEDEG</t>
  </si>
  <si>
    <t>International Conference on eDemocracy &amp; eGovernment</t>
  </si>
  <si>
    <t>ICEGOV</t>
  </si>
  <si>
    <t>International Conference on Theory and Practice of Eletronic Governance</t>
  </si>
  <si>
    <t>ICEIS</t>
  </si>
  <si>
    <t>International Conference on Enterprise Information Systems</t>
  </si>
  <si>
    <t>ICER</t>
  </si>
  <si>
    <t>International Computing Education Research</t>
  </si>
  <si>
    <t>ICERI</t>
  </si>
  <si>
    <t>International Conference of Education, Research and Innovation</t>
  </si>
  <si>
    <t>ICFCA</t>
  </si>
  <si>
    <t>International Conference on Formal Concept Analysis</t>
  </si>
  <si>
    <t>ICFEM</t>
  </si>
  <si>
    <t>International Conference on Formal Engineering Methods</t>
  </si>
  <si>
    <t>ICFHR</t>
  </si>
  <si>
    <t>International Conference on Frontiers in Handwriting Recognition</t>
  </si>
  <si>
    <t>ICFNDS</t>
  </si>
  <si>
    <t>International Conference on Future Networks and Distributed Systems</t>
  </si>
  <si>
    <t>ICFP</t>
  </si>
  <si>
    <t>International Conference on Functional Programming</t>
  </si>
  <si>
    <t>ICGI</t>
  </si>
  <si>
    <t>International Conference on Grammatical Inference</t>
  </si>
  <si>
    <t>ICGJ</t>
  </si>
  <si>
    <t>International Conference on Game Jams, Hackathons, and Game Creation Events</t>
  </si>
  <si>
    <t>ICGSE</t>
  </si>
  <si>
    <t>IEEE International Conference on Global Software Engineering</t>
  </si>
  <si>
    <t>ICGT</t>
  </si>
  <si>
    <t>International Conference on Graph Transformation</t>
  </si>
  <si>
    <t>ICHI</t>
  </si>
  <si>
    <t>IEEE International Conference on Healthcare Informatics</t>
  </si>
  <si>
    <t>ICIAP</t>
  </si>
  <si>
    <t>International Conference on Image Analysis and Processing</t>
  </si>
  <si>
    <t>ICIAR</t>
  </si>
  <si>
    <t>International Conference on Image Analysis and Recognition</t>
  </si>
  <si>
    <t>ICIC</t>
  </si>
  <si>
    <t>International Conference on Intelligent Computing</t>
  </si>
  <si>
    <t>ICICS</t>
  </si>
  <si>
    <t>International Conference on Information and Communications Security</t>
  </si>
  <si>
    <t>ICICT</t>
  </si>
  <si>
    <t>International Conference on Information and Computer Technologies</t>
  </si>
  <si>
    <t>ICIDS</t>
  </si>
  <si>
    <t>International Conference on Interactive Digital Storytelling</t>
  </si>
  <si>
    <t>ICIIECS</t>
  </si>
  <si>
    <t>International Conference on Innovations in Information, Embedded and Communication Systems</t>
  </si>
  <si>
    <t>ICINCO</t>
  </si>
  <si>
    <t>International Conference on Informatics in Control, Automation and Robotics</t>
  </si>
  <si>
    <t>ICIOT</t>
  </si>
  <si>
    <t>International Conference on the Internet of Things</t>
  </si>
  <si>
    <t>ICIP</t>
  </si>
  <si>
    <t>IEEE International Conference on Image Processing</t>
  </si>
  <si>
    <t>ICIRA</t>
  </si>
  <si>
    <t>International Conference on Intelligent Robotics and Applications</t>
  </si>
  <si>
    <t>ICIS</t>
  </si>
  <si>
    <t>International Conference on Information Systems</t>
  </si>
  <si>
    <t>ICISC</t>
  </si>
  <si>
    <t>International Conference on Information Security and Cryptology</t>
  </si>
  <si>
    <t>ICISO</t>
  </si>
  <si>
    <t>International Conference on Informatics and Semiotics in Organisations</t>
  </si>
  <si>
    <t>ICISS</t>
  </si>
  <si>
    <t>International Conference on Information Systems Security</t>
  </si>
  <si>
    <t>ICIST</t>
  </si>
  <si>
    <t>International Conference on Information and Software Technologies</t>
  </si>
  <si>
    <t>ICIT</t>
  </si>
  <si>
    <t>IEEE International Conference on Industrial Technology</t>
  </si>
  <si>
    <t>ICITS</t>
  </si>
  <si>
    <t>International Conference on Information Theoretic Security</t>
  </si>
  <si>
    <t>ICITST</t>
  </si>
  <si>
    <t>International Conference for Internet Technology and Secured Transactions</t>
  </si>
  <si>
    <t>ICIVC</t>
  </si>
  <si>
    <t>International Conference on Image, Vision and Computing</t>
  </si>
  <si>
    <t>ICL</t>
  </si>
  <si>
    <t>International Conference on Interactive Collaborative Learning</t>
  </si>
  <si>
    <t>ICLP</t>
  </si>
  <si>
    <t>International Conference on Logic Programming</t>
  </si>
  <si>
    <t>ICLR</t>
  </si>
  <si>
    <t>International Conference on Learning Representations</t>
  </si>
  <si>
    <t>ICM</t>
  </si>
  <si>
    <t>International Conference on Microelectronics</t>
  </si>
  <si>
    <t>ICMA</t>
  </si>
  <si>
    <t>IEEE International Conference on Mechatronics and Automation</t>
  </si>
  <si>
    <t>ICMC</t>
  </si>
  <si>
    <t>International Computer Music Conference</t>
  </si>
  <si>
    <t>ICMCR</t>
  </si>
  <si>
    <t>International Conference on Mechatronics, Control and Robotics</t>
  </si>
  <si>
    <t>ICME</t>
  </si>
  <si>
    <t>IEEE International Conference on Multimedia and Expo</t>
  </si>
  <si>
    <t>ICMEW</t>
  </si>
  <si>
    <t>IEEE International Conference on Multimedia and Expo Workshops</t>
  </si>
  <si>
    <t>ICMI</t>
  </si>
  <si>
    <t>ACM International Conference on Multimodal Interfaces</t>
  </si>
  <si>
    <t>ICMIS</t>
  </si>
  <si>
    <t>International Conference on Mathematics &amp; Information Science</t>
  </si>
  <si>
    <t>ICML</t>
  </si>
  <si>
    <t>International Conference on Machine Learning</t>
  </si>
  <si>
    <t>ICMLA</t>
  </si>
  <si>
    <t>IEEE International Conference on Machine Learning and Applications</t>
  </si>
  <si>
    <t>ICMLC</t>
  </si>
  <si>
    <t>International Conference on Machine Learning and Computing</t>
  </si>
  <si>
    <t>ICMPC</t>
  </si>
  <si>
    <t>International Conference on Music Perception and Cognition</t>
  </si>
  <si>
    <t>ICMR</t>
  </si>
  <si>
    <t>ACM International Conference on Multimedia Retrieval</t>
  </si>
  <si>
    <t>ICN-IARIA</t>
  </si>
  <si>
    <t>IARIA International Conference on Networks</t>
  </si>
  <si>
    <t>ICNC</t>
  </si>
  <si>
    <t>International Conference on Computing, Networking and Communications</t>
  </si>
  <si>
    <t>ICNC-FSKD</t>
  </si>
  <si>
    <t>International Conference on Natural Computation, Fuzzy Systems and Knowledge Discovery</t>
  </si>
  <si>
    <t>ICNP</t>
  </si>
  <si>
    <t>International Conference on Network Protocols</t>
  </si>
  <si>
    <t>ICNSC</t>
  </si>
  <si>
    <t>IEEE International Conference on Networking, Sensing and Control</t>
  </si>
  <si>
    <t>ICOIN</t>
  </si>
  <si>
    <t>International Conference on Information Networking</t>
  </si>
  <si>
    <t>ICOMPWC</t>
  </si>
  <si>
    <t>International Conference on Internet Computing and Internet of Things</t>
  </si>
  <si>
    <t>ICONIP</t>
  </si>
  <si>
    <t>International Conference on Neural Information Processing</t>
  </si>
  <si>
    <t>ICORES</t>
  </si>
  <si>
    <t>International Conference on Operations Research and Enterprise Systems</t>
  </si>
  <si>
    <t>ICORR</t>
  </si>
  <si>
    <t>IEEE International Conference on Rehabilitation Robotics</t>
  </si>
  <si>
    <t>ICPADS</t>
  </si>
  <si>
    <t>International Conference on Parallel and Distributed Systems</t>
  </si>
  <si>
    <t>ICPC</t>
  </si>
  <si>
    <t>International Conference on Program Comprehension</t>
  </si>
  <si>
    <t>ICPE</t>
  </si>
  <si>
    <t>International Conference on Performance Engineering</t>
  </si>
  <si>
    <t>ICPME</t>
  </si>
  <si>
    <t>International Conference on Philosophy, Music and Emotion</t>
  </si>
  <si>
    <t>ICPP</t>
  </si>
  <si>
    <t>International Conference on Parallel Processing</t>
  </si>
  <si>
    <t>ICPR</t>
  </si>
  <si>
    <t>International Conference on Pattern Recognition</t>
  </si>
  <si>
    <t>ICRA</t>
  </si>
  <si>
    <t>IEEE International Conference on Robotics and Automation</t>
  </si>
  <si>
    <t>ICRAE</t>
  </si>
  <si>
    <t>International Conference on Robotics and Automation Engineering</t>
  </si>
  <si>
    <t>ICRC</t>
  </si>
  <si>
    <t>IEEE International Conference on Rebooting Computing</t>
  </si>
  <si>
    <t>ICRES</t>
  </si>
  <si>
    <t>International Conference on Robot Ethics and Standards</t>
  </si>
  <si>
    <t>ICS</t>
  </si>
  <si>
    <t>International Conference on Supercomputing</t>
  </si>
  <si>
    <t>ICSC</t>
  </si>
  <si>
    <t>International Conference on Semantic Computing</t>
  </si>
  <si>
    <t>ICSE</t>
  </si>
  <si>
    <t>International Conference on Software Engineering</t>
  </si>
  <si>
    <t>ICSEA-IARIA</t>
  </si>
  <si>
    <t>IARIA International Conference on Software Engineering Advances</t>
  </si>
  <si>
    <t>ICSESS</t>
  </si>
  <si>
    <t>International Conference on Software Engineering and Service Science</t>
  </si>
  <si>
    <t>ICSEW</t>
  </si>
  <si>
    <t>International Conference on Software Engineering Workshops</t>
  </si>
  <si>
    <t>ICSI</t>
  </si>
  <si>
    <t>International Conference on Swarm Intelligence</t>
  </si>
  <si>
    <t>ICSIP</t>
  </si>
  <si>
    <t>IEEE International Conference on Signal and Image Processing</t>
  </si>
  <si>
    <t>ICSLE</t>
  </si>
  <si>
    <t>International Conference on Smart Learning Environments</t>
  </si>
  <si>
    <t>ICSME</t>
  </si>
  <si>
    <t>IEEE International Conference on Software Maintenance and Evolution</t>
  </si>
  <si>
    <t>ICSOB</t>
  </si>
  <si>
    <t>International Conference on Software Business</t>
  </si>
  <si>
    <t>ICSOC</t>
  </si>
  <si>
    <t>International Conference on Service Oriented Computing</t>
  </si>
  <si>
    <t>ICSOFT</t>
  </si>
  <si>
    <t>International Conference on Software Technologies</t>
  </si>
  <si>
    <t>ICSPCEC</t>
  </si>
  <si>
    <t>International Conference on Signal Processing, Communication, Power and Embedded System</t>
  </si>
  <si>
    <t>ICSR</t>
  </si>
  <si>
    <t>International Conference on Software Reuse</t>
  </si>
  <si>
    <t>ICST</t>
  </si>
  <si>
    <t>International Conference on Sensing Technology</t>
  </si>
  <si>
    <t>ICSTV</t>
  </si>
  <si>
    <t>IEEE International Conference on Software Testing, Verification and Validation</t>
  </si>
  <si>
    <t>ICSTW</t>
  </si>
  <si>
    <t>IEEE International Conference on Software Testing, Verification and Validation Workshops</t>
  </si>
  <si>
    <t>ICT</t>
  </si>
  <si>
    <t>International Conference on Telecommunications</t>
  </si>
  <si>
    <t>ICTAC</t>
  </si>
  <si>
    <t>International Colloquium on Theoretical Aspects of Computing</t>
  </si>
  <si>
    <t>ICTAI</t>
  </si>
  <si>
    <t>IEEE International Conference on Tools with Artificial Intelligence</t>
  </si>
  <si>
    <t>ICTC</t>
  </si>
  <si>
    <t>International Conference on Information and Communication Technology Convergence</t>
  </si>
  <si>
    <t>ICTCS</t>
  </si>
  <si>
    <t>Italian Conference on Theoretical Computer Science</t>
  </si>
  <si>
    <t>ICTIR</t>
  </si>
  <si>
    <t>Conference on the Theory of Information Retrieval</t>
  </si>
  <si>
    <t>ICTON</t>
  </si>
  <si>
    <t>International Conference on Transparent Optical Networks</t>
  </si>
  <si>
    <t>ICTSS</t>
  </si>
  <si>
    <t>IFIP International Conference on Testing Software and Systems</t>
  </si>
  <si>
    <t>ICUAS</t>
  </si>
  <si>
    <t>International Conference on Unmanned Aircraft Systems</t>
  </si>
  <si>
    <t>ICUMT</t>
  </si>
  <si>
    <t>International Conference on Ultra Modern Telecommunications</t>
  </si>
  <si>
    <t>ICVIIP</t>
  </si>
  <si>
    <t>International Conference on Visualization: Imaging and Image Processing</t>
  </si>
  <si>
    <t>ICVR</t>
  </si>
  <si>
    <t>International Conference on Virtual Rehabilitation</t>
  </si>
  <si>
    <t>ICVRV</t>
  </si>
  <si>
    <t>International Conference on Virtual Reality and Visualization</t>
  </si>
  <si>
    <t>ICVS</t>
  </si>
  <si>
    <t>International Conference on Computer Vision Systems</t>
  </si>
  <si>
    <t>ICWE</t>
  </si>
  <si>
    <t>International Conference on Web Engineering</t>
  </si>
  <si>
    <t>ICWL</t>
  </si>
  <si>
    <t>International Conference on Web-Based Learning</t>
  </si>
  <si>
    <t>ICWN</t>
  </si>
  <si>
    <t>International Conference on Wireless Networks</t>
  </si>
  <si>
    <t>ICWS</t>
  </si>
  <si>
    <t>IEEE International Conference on Web Services</t>
  </si>
  <si>
    <t>ICWSM</t>
  </si>
  <si>
    <t>International AAAI Conference on Web and Social Media</t>
  </si>
  <si>
    <t>IDC</t>
  </si>
  <si>
    <t>International Symposium on Intelligent Distributed Computing</t>
  </si>
  <si>
    <t>IDCS</t>
  </si>
  <si>
    <t>International Conference on Internet and Distributed Computing Systems</t>
  </si>
  <si>
    <t>IDEAS</t>
  </si>
  <si>
    <t>International Database Engineering and Applications Symposium</t>
  </si>
  <si>
    <t>IEAAIE</t>
  </si>
  <si>
    <t>International Conference on Industrial Engineering &amp; Other Applications of Appled Intelligence Systems</t>
  </si>
  <si>
    <t>IECON</t>
  </si>
  <si>
    <t>Annual Conference of the IEEE Industrial Electronics Society</t>
  </si>
  <si>
    <t>IEEE IST</t>
  </si>
  <si>
    <t>IEEE International Conference on Imaging Systems and Techniques</t>
  </si>
  <si>
    <t>IEEE NANO</t>
  </si>
  <si>
    <t>IEEE Conference on Nanotechnology</t>
  </si>
  <si>
    <t>IEEE VIS</t>
  </si>
  <si>
    <t>IEEE Visualization</t>
  </si>
  <si>
    <t>IEEECloudS</t>
  </si>
  <si>
    <t>IEEE Cloud Summit</t>
  </si>
  <si>
    <t>IEEEISWC</t>
  </si>
  <si>
    <t>IEEE International Symposium on Wearable Computers</t>
  </si>
  <si>
    <t>IEEENANO</t>
  </si>
  <si>
    <t>International Conference on Nanotechnology</t>
  </si>
  <si>
    <t>IEEESCC</t>
  </si>
  <si>
    <t>IEEE International Conference on Services Computing</t>
  </si>
  <si>
    <t>IESS</t>
  </si>
  <si>
    <t>IFIP International Embedded Systems Symposium</t>
  </si>
  <si>
    <t>IESTEC</t>
  </si>
  <si>
    <t>International Engineering, Sciences and Technology Conference</t>
  </si>
  <si>
    <t>IFAC</t>
  </si>
  <si>
    <t>World Congress of the International Federation of Automatic Control</t>
  </si>
  <si>
    <t>IFIPIoT</t>
  </si>
  <si>
    <t>IFIP International Internet of Things Conference</t>
  </si>
  <si>
    <t>IFIPISC</t>
  </si>
  <si>
    <t>IFIP International Information Security Conference</t>
  </si>
  <si>
    <t>IFM</t>
  </si>
  <si>
    <t>International Conference on Integrated Formal Methods</t>
  </si>
  <si>
    <t>IFSA</t>
  </si>
  <si>
    <t>World Congress of International Fuzzy Systems Association</t>
  </si>
  <si>
    <t>IGSC</t>
  </si>
  <si>
    <t>International Green and Sustainable Computing Conference</t>
  </si>
  <si>
    <t>IH&amp;MMSec</t>
  </si>
  <si>
    <t>ACM Workshop on Information Hiding and Multimedia Security</t>
  </si>
  <si>
    <t>IHC</t>
  </si>
  <si>
    <t>Simpósio Brasileiro sobre Fatores Humanos em Sistemas Computacionais</t>
  </si>
  <si>
    <t>IHM</t>
  </si>
  <si>
    <t>Conférence Francophone sur l’Interaction Homme-Machine</t>
  </si>
  <si>
    <t>IIH-MSP</t>
  </si>
  <si>
    <t>International Conference on Intelligent Information Hiding and Multimedia Signal Processing</t>
  </si>
  <si>
    <t>IISA</t>
  </si>
  <si>
    <t>International Conference on Information, Intelligence, Systems and Applications</t>
  </si>
  <si>
    <t>IISWC</t>
  </si>
  <si>
    <t>IEEE International Symposium on Workload Characterization</t>
  </si>
  <si>
    <t>IIWAS</t>
  </si>
  <si>
    <t>International Conference on Information Integration and Web-based Applications &amp; Services</t>
  </si>
  <si>
    <t>IJCAI</t>
  </si>
  <si>
    <t>International Joint Conference on Artificial Intelligence</t>
  </si>
  <si>
    <t>IJCAR</t>
  </si>
  <si>
    <t>International Joint Conference on Automated Reasoning</t>
  </si>
  <si>
    <t>IJCCI</t>
  </si>
  <si>
    <t>International Joint Conference on Computational Intelligence</t>
  </si>
  <si>
    <t>IJCNLP</t>
  </si>
  <si>
    <t>International Joint Conference on Natural Language Processing</t>
  </si>
  <si>
    <t>IJCNN</t>
  </si>
  <si>
    <t>IEEE International Joint Conference on Neural Networks</t>
  </si>
  <si>
    <t>ILA</t>
  </si>
  <si>
    <t>Interaction Latin America</t>
  </si>
  <si>
    <t>ILP</t>
  </si>
  <si>
    <t>International Conference on Inductive Logic Programming</t>
  </si>
  <si>
    <t>IM</t>
  </si>
  <si>
    <t>IFIP/IEEE International Symposium on Integrated Network Management</t>
  </si>
  <si>
    <t>IMBSA</t>
  </si>
  <si>
    <t>International Symposium on Model-Based Safety and Assessment</t>
  </si>
  <si>
    <t>IMC</t>
  </si>
  <si>
    <t>ACM Internet Measurement Conference</t>
  </si>
  <si>
    <t>IMCOM</t>
  </si>
  <si>
    <t>International Conference on Ubiquitous Information Management and Communication</t>
  </si>
  <si>
    <t>IMIS</t>
  </si>
  <si>
    <t>International Conference on Innovative Mobile and Internet Services in Ubiquitous Computing</t>
  </si>
  <si>
    <t>IMOC</t>
  </si>
  <si>
    <t>SBMO/IEEE MTT-S International Microwave and Optoelectronics Conference</t>
  </si>
  <si>
    <t>INCOS</t>
  </si>
  <si>
    <t>International Conference on Intelligent Networking and Collaborative Systems</t>
  </si>
  <si>
    <t>INDIN</t>
  </si>
  <si>
    <t>IEEE International Conference on Industrial Informatics</t>
  </si>
  <si>
    <t>INDOCRYPT</t>
  </si>
  <si>
    <t>International Conference on Cryptology in India</t>
  </si>
  <si>
    <t>INDUSCON</t>
  </si>
  <si>
    <t>International Conference on Industry Applications</t>
  </si>
  <si>
    <t>INFOCOM</t>
  </si>
  <si>
    <t>IEEE International Conference on Computer Communications</t>
  </si>
  <si>
    <t>InfoVis</t>
  </si>
  <si>
    <t>IEEE Information Visualization</t>
  </si>
  <si>
    <t>INLG</t>
  </si>
  <si>
    <t>International Natural Language Generation conference</t>
  </si>
  <si>
    <t>INOC</t>
  </si>
  <si>
    <t>International Network Optimization Conference</t>
  </si>
  <si>
    <t>INSCIT</t>
  </si>
  <si>
    <t>International Symposium on Instrumentation Systems, Circuits and Transducers</t>
  </si>
  <si>
    <t>INTECH</t>
  </si>
  <si>
    <t>International Conference on Innovative Computing Technology</t>
  </si>
  <si>
    <t>INTELLISYS</t>
  </si>
  <si>
    <t>SAI Intelligent Systems Conference</t>
  </si>
  <si>
    <t>INTERACT</t>
  </si>
  <si>
    <t>IFIP TC 13 International Conference on Human-Computer Interaction</t>
  </si>
  <si>
    <t>INTERSPEECH</t>
  </si>
  <si>
    <t>Conference of the International Speech Communication Association</t>
  </si>
  <si>
    <t>INTESA</t>
  </si>
  <si>
    <t>INTelligent Embedded Systems Architectures and Applications Workshop</t>
  </si>
  <si>
    <t>IOLTS</t>
  </si>
  <si>
    <t>IEEE International On-Line Testing Symposium</t>
  </si>
  <si>
    <t>IoTAAL</t>
  </si>
  <si>
    <t>Workshop on Internet of Things for Ambient Assisted Living</t>
  </si>
  <si>
    <t>IoTBDS</t>
  </si>
  <si>
    <t>International Conference on Internet of Things and Big Data and Security</t>
  </si>
  <si>
    <t>IOTSMS</t>
  </si>
  <si>
    <t>International Conference on Internet of Things: Systems, Management and Security</t>
  </si>
  <si>
    <t>IPAW</t>
  </si>
  <si>
    <t>International Provenance and Annotation Workshop</t>
  </si>
  <si>
    <t>IPCCC</t>
  </si>
  <si>
    <t>International Performance, Computing, and Communications Conference</t>
  </si>
  <si>
    <t>IPCO</t>
  </si>
  <si>
    <t>Conference on Integer Programming and Combinatorial Optimization</t>
  </si>
  <si>
    <t>IPCVWC</t>
  </si>
  <si>
    <t>International Conference on Image Processing, Computer Vision, and Pattern Recognition</t>
  </si>
  <si>
    <t>IPDLN</t>
  </si>
  <si>
    <t>International Population Data Linkage Network</t>
  </si>
  <si>
    <t>IPDPS</t>
  </si>
  <si>
    <t>IEEE International Parallel &amp; Distributed Processing Symposium</t>
  </si>
  <si>
    <t>IPDPSW</t>
  </si>
  <si>
    <t>IEEE International Parallel &amp; Distributed Processing Symposium Workshops</t>
  </si>
  <si>
    <t>IPEC</t>
  </si>
  <si>
    <t>International Symposium on Parameterized and Exact Computation</t>
  </si>
  <si>
    <t>IPMU</t>
  </si>
  <si>
    <t>International Conference on Information Processing and Management of Uncertainty in Knowledge-Based Systems</t>
  </si>
  <si>
    <t>IPSN</t>
  </si>
  <si>
    <t>International Conference on Information Processing in Sensor Networks</t>
  </si>
  <si>
    <t>IRC</t>
  </si>
  <si>
    <t>IEEE International Conference on Robotic Computing</t>
  </si>
  <si>
    <t>IRI</t>
  </si>
  <si>
    <t>IEEE International Conference on Information Reuse and Integration</t>
  </si>
  <si>
    <t>IRIS</t>
  </si>
  <si>
    <t>IEEE International Symposium on Robotics and Intelligent Sensors</t>
  </si>
  <si>
    <t>IROS</t>
  </si>
  <si>
    <t>IEEE/RSJ International Conference on Intelligent Robots and Systems</t>
  </si>
  <si>
    <t>ISAAC</t>
  </si>
  <si>
    <t>International Symposium on Algorithms and Computation</t>
  </si>
  <si>
    <t>ISADS</t>
  </si>
  <si>
    <t>International Symposium on Autonomous Decentralized Systems</t>
  </si>
  <si>
    <t>ISAM</t>
  </si>
  <si>
    <t>IEEE International Symposium on Assembly and Manufacturing</t>
  </si>
  <si>
    <t>ISAmI</t>
  </si>
  <si>
    <t>International Symposium on Ambient Intelligence</t>
  </si>
  <si>
    <t>ISAP</t>
  </si>
  <si>
    <t>International Conference on Intelligent System Applications to Power Systems</t>
  </si>
  <si>
    <t>ISAS</t>
  </si>
  <si>
    <t>International Static Analysis Symposium</t>
  </si>
  <si>
    <t>ISBI</t>
  </si>
  <si>
    <t>IEEE International Symposium on Biomedical Imaging</t>
  </si>
  <si>
    <t>ISBRA</t>
  </si>
  <si>
    <t>International Symposium on Bioinformatics Research and Applications</t>
  </si>
  <si>
    <t>ISC</t>
  </si>
  <si>
    <t>International Supercomputing Conference</t>
  </si>
  <si>
    <t>ISC2</t>
  </si>
  <si>
    <t>IEEE International Smart Cities Conference</t>
  </si>
  <si>
    <t>ISCA</t>
  </si>
  <si>
    <t>International Symposium on Computer Architecture</t>
  </si>
  <si>
    <t>ISCAS</t>
  </si>
  <si>
    <t>IEEE International Symposium on Circuits and Systems</t>
  </si>
  <si>
    <t>ISCC</t>
  </si>
  <si>
    <t>International Symposium on Computers and Communications</t>
  </si>
  <si>
    <t>ISCIS</t>
  </si>
  <si>
    <t>International Symposium on Computer and Information Sciences</t>
  </si>
  <si>
    <t>ISCO</t>
  </si>
  <si>
    <t>International Symposium on Combinatorial Optimization</t>
  </si>
  <si>
    <t>ISCRAM</t>
  </si>
  <si>
    <t>International Conference on Information Systems for Crisis Response and Management</t>
  </si>
  <si>
    <t>ISD</t>
  </si>
  <si>
    <t>International Conference on Information Systems Development</t>
  </si>
  <si>
    <t>ISDA</t>
  </si>
  <si>
    <t>International Conference on Intelligent Systems Design and Applications</t>
  </si>
  <si>
    <t>ISEA</t>
  </si>
  <si>
    <t>International Symposium on Electronic Arts</t>
  </si>
  <si>
    <t>ISeC</t>
  </si>
  <si>
    <t>International Conference on Information Security</t>
  </si>
  <si>
    <t>ISECON</t>
  </si>
  <si>
    <t>Information Systems Education Conference</t>
  </si>
  <si>
    <t>ISER</t>
  </si>
  <si>
    <t>International Symposium on Experimental Robotics</t>
  </si>
  <si>
    <t>ISGT</t>
  </si>
  <si>
    <t>IEEE PES Innovative Smart Grid Technologies</t>
  </si>
  <si>
    <t>ISGT-Europe</t>
  </si>
  <si>
    <t>IEEE PES Innovative Smart Grid Technologies Conference Europe</t>
  </si>
  <si>
    <t>ISGT-LA</t>
  </si>
  <si>
    <t>IEEE PES Innovative Smart Grid Technologies Latin America</t>
  </si>
  <si>
    <t>ISI</t>
  </si>
  <si>
    <t>IEEE International Conference on Intelligence and Security Informatics</t>
  </si>
  <si>
    <t>ISIE</t>
  </si>
  <si>
    <t>IEEE International Symposium on Industrial Electronics</t>
  </si>
  <si>
    <t>ISLPED</t>
  </si>
  <si>
    <t>International Symposium on Low Power Electronics and Design</t>
  </si>
  <si>
    <t>ISM</t>
  </si>
  <si>
    <t>IEEE International Symposium on Multimedia</t>
  </si>
  <si>
    <t>ISMAR</t>
  </si>
  <si>
    <t>IEEE International Symposium on Mixed and Augmented Reality</t>
  </si>
  <si>
    <t>ISMB/ECCB</t>
  </si>
  <si>
    <t>Intelligent Systems for Molecular Biology / European Conference on Computational Biology</t>
  </si>
  <si>
    <t>ISMCR</t>
  </si>
  <si>
    <t>International Symposium on Measurement and Control in Robotics</t>
  </si>
  <si>
    <t>ISMEM</t>
  </si>
  <si>
    <t>International Symposium on Memory Management</t>
  </si>
  <si>
    <t>ISMIR</t>
  </si>
  <si>
    <t>International Society for Music Information Retrieval Conference</t>
  </si>
  <si>
    <t>ISMIS</t>
  </si>
  <si>
    <t>International Symposium on Methodologies for Intelligent Systems</t>
  </si>
  <si>
    <t>ISMM</t>
  </si>
  <si>
    <t>International Symposium on Mathematical Morphology</t>
  </si>
  <si>
    <t>ISMR</t>
  </si>
  <si>
    <t>International Symposium on Medical Robotics</t>
  </si>
  <si>
    <t>ISMSI</t>
  </si>
  <si>
    <t>International Conference on Intelligent Systems, Metaheuristics &amp; Swarm Intelligence</t>
  </si>
  <si>
    <t>ISMVL</t>
  </si>
  <si>
    <t>IEEE International Symposium on Multiple-Valued Logic</t>
  </si>
  <si>
    <t>ISNN</t>
  </si>
  <si>
    <t>International Symposium on Neural Networks</t>
  </si>
  <si>
    <t>ISOLA</t>
  </si>
  <si>
    <t>International Symposium on Leveraging Applications of Formal Methods, Verification and Validation</t>
  </si>
  <si>
    <t>ISORC</t>
  </si>
  <si>
    <t>IEEE International Symposium on RealTime Distributed Computing</t>
  </si>
  <si>
    <t>ISPASS</t>
  </si>
  <si>
    <t>IEEE International Symposium on Performance Analysis of Systems and Software</t>
  </si>
  <si>
    <t>ISPD</t>
  </si>
  <si>
    <t>ACM International Symposium on Physical Design</t>
  </si>
  <si>
    <t>ISPDC</t>
  </si>
  <si>
    <t>International Symposium on Parallel and Distributed Computing</t>
  </si>
  <si>
    <t>ISQED</t>
  </si>
  <si>
    <t>International Symposium on Quality Electronic Design</t>
  </si>
  <si>
    <t>ISR</t>
  </si>
  <si>
    <t>IEEE International Conference on Intelligence and Safety for Robotics</t>
  </si>
  <si>
    <t>ISRR</t>
  </si>
  <si>
    <t>International Symposium on Robotics Research</t>
  </si>
  <si>
    <t>ISS</t>
  </si>
  <si>
    <t>ACM International Conference on Interactive Surfaces and Spaces</t>
  </si>
  <si>
    <t>ISSA</t>
  </si>
  <si>
    <t>Information Security for South Africa</t>
  </si>
  <si>
    <t>ISSCC</t>
  </si>
  <si>
    <t>IEEE International Solid-State Circuits Conference</t>
  </si>
  <si>
    <t>ISSI</t>
  </si>
  <si>
    <t>International Society of Scientometrics and Informetrics Conference</t>
  </si>
  <si>
    <t>ISSRE</t>
  </si>
  <si>
    <t>IEEE International Symposium on Software Reliability Engineering</t>
  </si>
  <si>
    <t>ISSREW</t>
  </si>
  <si>
    <t>IEEE International Symposium on Software Reliability Engineering Workshops</t>
  </si>
  <si>
    <t>ISSTA</t>
  </si>
  <si>
    <t>International Symposium on Software Testing and Analysis</t>
  </si>
  <si>
    <t>ISTAR</t>
  </si>
  <si>
    <t>International i*Workshop</t>
  </si>
  <si>
    <t>ISVC</t>
  </si>
  <si>
    <t>International Symposium on Visual Computing</t>
  </si>
  <si>
    <t>ISVLSI</t>
  </si>
  <si>
    <t>IEEE Computer Society Annual Symposium on VLSI</t>
  </si>
  <si>
    <t>ISW</t>
  </si>
  <si>
    <t>Information Security Conference</t>
  </si>
  <si>
    <t>ISWC</t>
  </si>
  <si>
    <t>International Semantic Web Conference</t>
  </si>
  <si>
    <t>ISWCS</t>
  </si>
  <si>
    <t>International Symposium on Wireless Communication Systems</t>
  </si>
  <si>
    <t>ITC</t>
  </si>
  <si>
    <t>International Test Conference</t>
  </si>
  <si>
    <t>ITCS</t>
  </si>
  <si>
    <t>Conference on Innovations in Theoretical Computer Science</t>
  </si>
  <si>
    <t>ITDRR</t>
  </si>
  <si>
    <t>Information Technology in Disaster Risk Reduction</t>
  </si>
  <si>
    <t>ITHET</t>
  </si>
  <si>
    <t>International Conference on Information Technology Based Higher Education and Training</t>
  </si>
  <si>
    <t>ITICSE</t>
  </si>
  <si>
    <t>Conference on Innovation and Technology in Computer Science Education</t>
  </si>
  <si>
    <t>ITNG</t>
  </si>
  <si>
    <t>International Conference on Information Technology : New Generations</t>
  </si>
  <si>
    <t>ITP</t>
  </si>
  <si>
    <t>International Conference on Interactive Theorem Proving</t>
  </si>
  <si>
    <t>ITS</t>
  </si>
  <si>
    <t>International Conference on Intelligent Tutoring Systems</t>
  </si>
  <si>
    <t>ITSC</t>
  </si>
  <si>
    <t>IEEE International Conference on Intelligent Transportation Systems</t>
  </si>
  <si>
    <t>ITSS</t>
  </si>
  <si>
    <t>Interactive Tabletops and Surfaces</t>
  </si>
  <si>
    <t>IUI</t>
  </si>
  <si>
    <t>International Conference on Intelligent User Interfaces</t>
  </si>
  <si>
    <t>IV</t>
  </si>
  <si>
    <t>International Conference on Information Visualization</t>
  </si>
  <si>
    <t>IVA</t>
  </si>
  <si>
    <t>International Conference on Intelligent Virtual Agents</t>
  </si>
  <si>
    <t>IVAPP</t>
  </si>
  <si>
    <t>International Conference on Information Visualization Theory and Applications</t>
  </si>
  <si>
    <t>IWANN</t>
  </si>
  <si>
    <t>International Work-Conference on Artificial Neural Networks</t>
  </si>
  <si>
    <t>IWBBIO</t>
  </si>
  <si>
    <t>International Work-Conference on Bioinformatics and Biomedical Engineering</t>
  </si>
  <si>
    <t>IWBF</t>
  </si>
  <si>
    <t>International Workshop on Biometrics and Forensics</t>
  </si>
  <si>
    <t>IWCMC</t>
  </si>
  <si>
    <t>International Wireless Communications and Mobile Computing Conference</t>
  </si>
  <si>
    <t>IWCS</t>
  </si>
  <si>
    <t>International Workshop on Computational Semantics</t>
  </si>
  <si>
    <t>IWCTS</t>
  </si>
  <si>
    <t>International Workshop on Computational Transportation Science</t>
  </si>
  <si>
    <t>IWGS</t>
  </si>
  <si>
    <t>ACM Workshop on GeoStreaming</t>
  </si>
  <si>
    <t>IWOCA</t>
  </si>
  <si>
    <t>International Workshop on Combinatorial Algorithms</t>
  </si>
  <si>
    <t>IWOMP</t>
  </si>
  <si>
    <t>International Workshop on OpenMP</t>
  </si>
  <si>
    <t>IWS</t>
  </si>
  <si>
    <t>Iberchip Workshop</t>
  </si>
  <si>
    <t>IWSECO</t>
  </si>
  <si>
    <t>International Workshop on Software Ecosystems</t>
  </si>
  <si>
    <t>IWSSIP</t>
  </si>
  <si>
    <t>International Conference on Systems, Signals and Image Processing</t>
  </si>
  <si>
    <t>jAUTI</t>
  </si>
  <si>
    <t>Iberoamerican Conference on Applications and Usability of Interactive TV</t>
  </si>
  <si>
    <t>JCDL</t>
  </si>
  <si>
    <t>ACM/IEEE Joint Conference on Digital Libraries</t>
  </si>
  <si>
    <t>JCSG</t>
  </si>
  <si>
    <t>Joint International Conference on Serious Games</t>
  </si>
  <si>
    <t>JSSPP</t>
  </si>
  <si>
    <t>Workshop on Job Scheduling Strategies for Parallel Processing</t>
  </si>
  <si>
    <t>JURIX</t>
  </si>
  <si>
    <t>International Conference on Legal Knowledge and Information Systems</t>
  </si>
  <si>
    <t>KDD</t>
  </si>
  <si>
    <t>KDIR</t>
  </si>
  <si>
    <t>International Conference on Knowledge Discovery and Information Retrieval</t>
  </si>
  <si>
    <t>KDMILE</t>
  </si>
  <si>
    <t>Symposium on Knowledge Discovery, Mining and Learning</t>
  </si>
  <si>
    <t>KEPS</t>
  </si>
  <si>
    <t>Workshop on Knowledge Engineering for Planning and Scheduling</t>
  </si>
  <si>
    <t>KES</t>
  </si>
  <si>
    <t>International Conference on Knowledge-Based and Intelligent Information &amp; Engineering Systems</t>
  </si>
  <si>
    <t>KESAMSTA</t>
  </si>
  <si>
    <t>International KES Conference on Agents and Multi-Agent Systems: Technologies and Applications</t>
  </si>
  <si>
    <t>KESW</t>
  </si>
  <si>
    <t>International Conference on Knowledge Engineering and Semantic Web</t>
  </si>
  <si>
    <t>KMO</t>
  </si>
  <si>
    <t>International Conference on Knowledge Management in Organizations</t>
  </si>
  <si>
    <t>KR</t>
  </si>
  <si>
    <t>International Conference on Principles of Knowledge Representation and Reasoning</t>
  </si>
  <si>
    <t>L@S</t>
  </si>
  <si>
    <t>ACM Conference on Learning @ Scale</t>
  </si>
  <si>
    <t>LA-CCI</t>
  </si>
  <si>
    <t>Latin American Conference on Computational Intelligence</t>
  </si>
  <si>
    <t>LAC</t>
  </si>
  <si>
    <t>Linux Audio Conference</t>
  </si>
  <si>
    <t>LACLO</t>
  </si>
  <si>
    <t>Latin American Conference on Learning Objects and Technologies</t>
  </si>
  <si>
    <t>LADC</t>
  </si>
  <si>
    <t>Latin-American Symposium on Dependable Computing</t>
  </si>
  <si>
    <t>LAGIRS</t>
  </si>
  <si>
    <t>IEEE Latin American GRSS &amp; ISPRS Remote Sensing Conference</t>
  </si>
  <si>
    <t>LAGOS</t>
  </si>
  <si>
    <t>Latin-American Algorithms, Graphs and Optimization Symposium</t>
  </si>
  <si>
    <t>LAK</t>
  </si>
  <si>
    <t>International Learning Analytics and Knowledge Conference</t>
  </si>
  <si>
    <t>LANC</t>
  </si>
  <si>
    <t>Latin American Networking Conference</t>
  </si>
  <si>
    <t>LANMAN</t>
  </si>
  <si>
    <t>IEEE International Symposium on Local and Metropolitan Area Networks</t>
  </si>
  <si>
    <t>LANOMS</t>
  </si>
  <si>
    <t>Latin American Network Operations and Management Symposium</t>
  </si>
  <si>
    <t>LARS</t>
  </si>
  <si>
    <t>IEEE Latin American Robotics Symposium</t>
  </si>
  <si>
    <t>LASCAS</t>
  </si>
  <si>
    <t>IEEE Latin American Symposium on Circuits and Systems</t>
  </si>
  <si>
    <t>LATIN</t>
  </si>
  <si>
    <t>Latin American Theoretical Informatics Symposium</t>
  </si>
  <si>
    <t>LATINCLOUD</t>
  </si>
  <si>
    <t>IEEE Latin America Conference on Cloud Computing and Communications</t>
  </si>
  <si>
    <t>LATINCOM</t>
  </si>
  <si>
    <t>IEEE Latin-American Conference on Communications</t>
  </si>
  <si>
    <t>LATINCRYPT</t>
  </si>
  <si>
    <t>International Conference on Cryptology and Information Security in Latin America</t>
  </si>
  <si>
    <t>LATINOWARE</t>
  </si>
  <si>
    <t>Congresso Latino-americano de Software Livre e Tecnologias Abertas</t>
  </si>
  <si>
    <t>LATS</t>
  </si>
  <si>
    <t>IEEE Latin American Test Symposium</t>
  </si>
  <si>
    <t>LAW</t>
  </si>
  <si>
    <t>Linguistic Annotation Workshop</t>
  </si>
  <si>
    <t>LAWCG</t>
  </si>
  <si>
    <t>Latin American Workshop on Cliques in Graphs</t>
  </si>
  <si>
    <t>LAWCN</t>
  </si>
  <si>
    <t>Latin-American Workshop on Computational Neuroscience</t>
  </si>
  <si>
    <t>LAWEB</t>
  </si>
  <si>
    <t>Latin American Web Congress</t>
  </si>
  <si>
    <t>LCN</t>
  </si>
  <si>
    <t>IEEE Conference on Local Computer Networks</t>
  </si>
  <si>
    <t>LCTES</t>
  </si>
  <si>
    <t>ACM SIGPLAN/SIGBED Conference on Languages, Compilers, and Tools for Embedded Systems</t>
  </si>
  <si>
    <t>LCTRTS</t>
  </si>
  <si>
    <t>ACM SIGPLAN/SIGBED Conference on Languages, Compilers, and Tools for Real-Time Systems</t>
  </si>
  <si>
    <t>LDAV</t>
  </si>
  <si>
    <t>IEEE Symposium on Large Data Analysis and Visualization</t>
  </si>
  <si>
    <t>LFCS</t>
  </si>
  <si>
    <t>Symposium on Logical Foundations of Computer Science</t>
  </si>
  <si>
    <t>LICS</t>
  </si>
  <si>
    <t>ACM/IEEE Symposium on Logic in Computer Science</t>
  </si>
  <si>
    <t>LIDTA</t>
  </si>
  <si>
    <t>Workshop on Learning with Imbalanced Domains: Theory and Applications</t>
  </si>
  <si>
    <t>LINKDEM</t>
  </si>
  <si>
    <t>Workshop on Linked Democracy : Artificial Intelligence for Democratic Innovation</t>
  </si>
  <si>
    <t>LION</t>
  </si>
  <si>
    <t>Learning and Intelligent Optimization Conference</t>
  </si>
  <si>
    <t>LMCS</t>
  </si>
  <si>
    <t>Logical Methods in Computer Science</t>
  </si>
  <si>
    <t>LocalRec</t>
  </si>
  <si>
    <t>International Workshop on Location-Based Recommendations, Geosocial Networks and Geoadvertising</t>
  </si>
  <si>
    <t>LocWeb</t>
  </si>
  <si>
    <t>International Workshop on Location and the Web</t>
  </si>
  <si>
    <t>LoPaS</t>
  </si>
  <si>
    <t>Location Privacy and Security Workshop</t>
  </si>
  <si>
    <t>LOPSTR</t>
  </si>
  <si>
    <t>International Symposium on Logic-based Program Synthesis and Transformation</t>
  </si>
  <si>
    <t>LREC</t>
  </si>
  <si>
    <t>International Conference on Language Resources and Evaluation</t>
  </si>
  <si>
    <t>LSFA</t>
  </si>
  <si>
    <t>International Workshop on Logical and Semantic Frameworks, with Applications</t>
  </si>
  <si>
    <t>LTEC</t>
  </si>
  <si>
    <t>International Workshop on Learning Technology for Education Challenges</t>
  </si>
  <si>
    <t>M4IOT</t>
  </si>
  <si>
    <t>Workshop on Middleware for Context-Aware Applications in the IoT</t>
  </si>
  <si>
    <t>MABS</t>
  </si>
  <si>
    <t>International Workshop on Multi-Agent Based Simulation</t>
  </si>
  <si>
    <t>MANSDNNFV</t>
  </si>
  <si>
    <t>International Workshop on Management of SDN and NFV Systems</t>
  </si>
  <si>
    <t>MASCOTS</t>
  </si>
  <si>
    <t>International Symposium on the Modeling, Analysis, and Simulation of Computer and Telecommunication Systems</t>
  </si>
  <si>
    <t>MASS</t>
  </si>
  <si>
    <t>IEEE International Conference on Mobile Adhoc and Sensor Systems</t>
  </si>
  <si>
    <t>MASS2</t>
  </si>
  <si>
    <t>IEEE International Conference on Mobile Ad-Hoc and Smart Systems</t>
  </si>
  <si>
    <t>MATES</t>
  </si>
  <si>
    <t>German Conference on Multiagent System Technologies</t>
  </si>
  <si>
    <t>MCDM</t>
  </si>
  <si>
    <t>International Conference on Multiple Criteria Decision Making</t>
  </si>
  <si>
    <t>MCM</t>
  </si>
  <si>
    <t>International Conference on Mathematics and Computation in Music</t>
  </si>
  <si>
    <t>MCPR2</t>
  </si>
  <si>
    <t>Mexican Conference on Pattern Recognition</t>
  </si>
  <si>
    <t>MCSoC</t>
  </si>
  <si>
    <t>International Symposium on Embedded Multicore/Many-core Systems-on-Chip</t>
  </si>
  <si>
    <t>MDAI</t>
  </si>
  <si>
    <t>International Conference on Modeling Decisions for Artificial Intelligence</t>
  </si>
  <si>
    <t>MDM</t>
  </si>
  <si>
    <t>IEEE International Conference on Mobile Data Management</t>
  </si>
  <si>
    <t>MED</t>
  </si>
  <si>
    <t>Mediterranean Conference on Control and Automation</t>
  </si>
  <si>
    <t>MedComNet</t>
  </si>
  <si>
    <t>Mediterranean Communication and Computer Networking Conference</t>
  </si>
  <si>
    <t>MEDES</t>
  </si>
  <si>
    <t>International Conference on Management of Emergent Digital EcoSystems</t>
  </si>
  <si>
    <t>MEDHOCNET</t>
  </si>
  <si>
    <t>Mediterranean Ad Hoc Networking Workshop</t>
  </si>
  <si>
    <t>MEDINFO</t>
  </si>
  <si>
    <t>World Congress on Medical and Health Informatics</t>
  </si>
  <si>
    <t>MEMEA</t>
  </si>
  <si>
    <t>IEEE International Symposium on Medical Measurements and Applications</t>
  </si>
  <si>
    <t>MEMSYS</t>
  </si>
  <si>
    <t>International Symposium on Memory Systems</t>
  </si>
  <si>
    <t>MEPDaW</t>
  </si>
  <si>
    <t>Managing the Evolution and Preservation of the Data Web</t>
  </si>
  <si>
    <t>MESA</t>
  </si>
  <si>
    <t>IEEE/ASME International Conference on Mechatronic and Embedded Systems and Applications</t>
  </si>
  <si>
    <t>META</t>
  </si>
  <si>
    <t>International Workshop on Meta-Programming Techniques and Reflection</t>
  </si>
  <si>
    <t>MetaLearn</t>
  </si>
  <si>
    <t>Workshop on Meta-Learning</t>
  </si>
  <si>
    <t>MFCS</t>
  </si>
  <si>
    <t>International Symposium on Mathematical Foundations of Computer Science</t>
  </si>
  <si>
    <t>MFI</t>
  </si>
  <si>
    <t>IEEE International Conference on Multisensor Fusion and Integration for Intelligent Systems</t>
  </si>
  <si>
    <t>MIC</t>
  </si>
  <si>
    <t>Metaheuristics International Conference</t>
  </si>
  <si>
    <t>MICAI</t>
  </si>
  <si>
    <t>Mexican International Conference on Artificial Intelligence</t>
  </si>
  <si>
    <t>MICRO</t>
  </si>
  <si>
    <t>IEEE/ACM International Symposium on Microarchitecture</t>
  </si>
  <si>
    <t>MIDDLEWARE</t>
  </si>
  <si>
    <t>International Middleware Conference</t>
  </si>
  <si>
    <t>MIE</t>
  </si>
  <si>
    <t>Medical Informatics Europe</t>
  </si>
  <si>
    <t>MIG</t>
  </si>
  <si>
    <t>ACM Siggraph Conference on Motion in Games</t>
  </si>
  <si>
    <t>MILCOM</t>
  </si>
  <si>
    <t>Military Communications Conference</t>
  </si>
  <si>
    <t>MISE</t>
  </si>
  <si>
    <t>Workshop on Modeling in Software Engineering</t>
  </si>
  <si>
    <t>MIXDES</t>
  </si>
  <si>
    <t>International Conference on Mixed Design of Integrated Circuits and Systems</t>
  </si>
  <si>
    <t>ML4H</t>
  </si>
  <si>
    <t>Machine Learning for Health</t>
  </si>
  <si>
    <t>MLDM</t>
  </si>
  <si>
    <t>International Conference on Machine Learning and Data Mining in Pattern Recognition</t>
  </si>
  <si>
    <t>MLOBD</t>
  </si>
  <si>
    <t>International Workshop on Machine Learning, Optimization and Big Data</t>
  </si>
  <si>
    <t>MLSP</t>
  </si>
  <si>
    <t>IEEE International Workshop on Machine Learning for Signal Processing</t>
  </si>
  <si>
    <t>MMAR</t>
  </si>
  <si>
    <t>International Conference on Methods and Models in Automation and Robotics</t>
  </si>
  <si>
    <t>MMM</t>
  </si>
  <si>
    <t>International Conference on Multimedia Modelling</t>
  </si>
  <si>
    <t>MMRP</t>
  </si>
  <si>
    <t>International Workshop on Multilayer Music Representation and Processing</t>
  </si>
  <si>
    <t>MMSP</t>
  </si>
  <si>
    <t>International Workshop on Multimedia and Signal Processing</t>
  </si>
  <si>
    <t>MMSYS</t>
  </si>
  <si>
    <t>ACM Multimedia Systems Conference</t>
  </si>
  <si>
    <t>MNR</t>
  </si>
  <si>
    <t>Mostra Nacional de Robótica</t>
  </si>
  <si>
    <t>MobiArch</t>
  </si>
  <si>
    <t>Workshop on Mobility in the Evolving Internet Architecture</t>
  </si>
  <si>
    <t>MOBICOM</t>
  </si>
  <si>
    <t>ACM/IEEE International Conference on Mobile Computing and Networking</t>
  </si>
  <si>
    <t>MOBIHOC</t>
  </si>
  <si>
    <t>ACM International Symposium on Mobile Ad Hoc Networking and Computing</t>
  </si>
  <si>
    <t>MOBILEHCI</t>
  </si>
  <si>
    <t>International Conference on Human-Computer Interaction with Mobile Devices and Services</t>
  </si>
  <si>
    <t>MOBILESOFT</t>
  </si>
  <si>
    <t>International Conference on Mobile Software Engineering and Systems</t>
  </si>
  <si>
    <t>MOBIQUITOUS</t>
  </si>
  <si>
    <t>International Conference on Mobile and Ubiquitous Systems: Computing, Networking and Services</t>
  </si>
  <si>
    <t>MobiSys</t>
  </si>
  <si>
    <t>Annual International Conference on Mobile Systems, Applications, and Services</t>
  </si>
  <si>
    <t>MOBIWAC</t>
  </si>
  <si>
    <t>ACM International Symposium on Mobility Management and Wireless Access</t>
  </si>
  <si>
    <t>MOCO</t>
  </si>
  <si>
    <t>International Conference on Movement and Computing</t>
  </si>
  <si>
    <t>MODELS</t>
  </si>
  <si>
    <t>International Conference on Model Driven Engineering Languages and Systems</t>
  </si>
  <si>
    <t>MODELSWARD</t>
  </si>
  <si>
    <t>International Conference on Model-Driven Engineering and Software Development</t>
  </si>
  <si>
    <t>MODRE</t>
  </si>
  <si>
    <t>International Model-Driven Requirements Engineering</t>
  </si>
  <si>
    <t>MODULARITY</t>
  </si>
  <si>
    <t>International Conference on Modularity</t>
  </si>
  <si>
    <t>MoMM</t>
  </si>
  <si>
    <t>International Conference on Advances in Mobile Computing &amp; Multimedia</t>
  </si>
  <si>
    <t>MRS</t>
  </si>
  <si>
    <t>International Symposium on Multi-Robot and Multi-Agent Systems</t>
  </si>
  <si>
    <t>MSN</t>
  </si>
  <si>
    <t>International Conference on Mobile Ad-Hoc and Sensor Networks</t>
  </si>
  <si>
    <t>MSR</t>
  </si>
  <si>
    <t>Working Conference on Mining Software Repositories</t>
  </si>
  <si>
    <t>MSSiS</t>
  </si>
  <si>
    <t>Workshop deModelagem e Simulação de Sistemas Intensivos em Software</t>
  </si>
  <si>
    <t>MSST</t>
  </si>
  <si>
    <t>IEEE Symposium on Mass Storage Systems and Technologies</t>
  </si>
  <si>
    <t>MSWIM</t>
  </si>
  <si>
    <t>ACM International Conference on Modeling, Analysis and Simulation of Wireless and Mobile Systems</t>
  </si>
  <si>
    <t>MTSR</t>
  </si>
  <si>
    <t>International Conference on Metadata and Semantics Research</t>
  </si>
  <si>
    <t>MULTI</t>
  </si>
  <si>
    <t>International Workshop on Multi-Level Modeling</t>
  </si>
  <si>
    <t>MULTITEMP</t>
  </si>
  <si>
    <t>International Workshop on the Analysis of Multitemporal Remote Sensing Images</t>
  </si>
  <si>
    <t>MUM</t>
  </si>
  <si>
    <t>International Conference on Mobile and Ubiquitous Multimedia</t>
  </si>
  <si>
    <t>MVA</t>
  </si>
  <si>
    <t>IAPR International Conference on Machine Vision Applications</t>
  </si>
  <si>
    <t>MWE</t>
  </si>
  <si>
    <t>Workshop on Multiword Expressions</t>
  </si>
  <si>
    <t>MWSCAS</t>
  </si>
  <si>
    <t>International Midwest Symposium on Circuits and Systems</t>
  </si>
  <si>
    <t>NAACL</t>
  </si>
  <si>
    <t>North American Chapter of the Association for Computational Linguistics Annual Meeting</t>
  </si>
  <si>
    <t>NAFIPS</t>
  </si>
  <si>
    <t>Annual Conference of the North American Fuzzy Information Processing Society</t>
  </si>
  <si>
    <t>NCA</t>
  </si>
  <si>
    <t>IEEE International Symposium on Network Computing and Applications</t>
  </si>
  <si>
    <t>NDSS</t>
  </si>
  <si>
    <t>Network and Distributed System Security Symposium</t>
  </si>
  <si>
    <t>NESY@HLAI</t>
  </si>
  <si>
    <t>Workshop on Neural-Symbolic Learning and Reasoning</t>
  </si>
  <si>
    <t>NETSOFT</t>
  </si>
  <si>
    <t>IEEE Conference on Network Softwarization</t>
  </si>
  <si>
    <t>NetSys</t>
  </si>
  <si>
    <t>International Conference on Networked Systems</t>
  </si>
  <si>
    <t>NETWORKING</t>
  </si>
  <si>
    <t>IFIP Networking Conference</t>
  </si>
  <si>
    <t>NETWORKS</t>
  </si>
  <si>
    <t>International Telecommunications Network Strategy and Planning Symposium</t>
  </si>
  <si>
    <t>NeurIPS</t>
  </si>
  <si>
    <t>Neural Information Processing Systems</t>
  </si>
  <si>
    <t>NEW2AN</t>
  </si>
  <si>
    <t>International Conference on Internet of Things, Smart Spaces, and Next Generation Networks and Systems</t>
  </si>
  <si>
    <t>NEWCAS</t>
  </si>
  <si>
    <t>IEEE International New Circuits and Systems Conference</t>
  </si>
  <si>
    <t>NFM</t>
  </si>
  <si>
    <t>NASA Formal Methods Symposium</t>
  </si>
  <si>
    <t>NFV-SDN</t>
  </si>
  <si>
    <t>IEEE Conference on Network Function Virtualization and Software Defined Networks</t>
  </si>
  <si>
    <t>NHT</t>
  </si>
  <si>
    <t>Workshop on Narrative and Hypertext</t>
  </si>
  <si>
    <t>NIME</t>
  </si>
  <si>
    <t>International Conference on New Interfaces for Musical Expression</t>
  </si>
  <si>
    <t>NLDB</t>
  </si>
  <si>
    <t>International Conference on Application of Natural Language to Information Systems</t>
  </si>
  <si>
    <t>NOCS</t>
  </si>
  <si>
    <t>ACM/IEEE International Symposium on Networks-on-Chip</t>
  </si>
  <si>
    <t>NOF</t>
  </si>
  <si>
    <t>International Conference on Network of the Future</t>
  </si>
  <si>
    <t>NOMS</t>
  </si>
  <si>
    <t>IEEE/IFIP Network Operations and Management Symposium</t>
  </si>
  <si>
    <t>NORCAS</t>
  </si>
  <si>
    <t>Nordic Circuits and Systems Conference</t>
  </si>
  <si>
    <t>NordiCHI</t>
  </si>
  <si>
    <t>Nordic Conference on Human-Computer Interaction</t>
  </si>
  <si>
    <t>NSDI</t>
  </si>
  <si>
    <t>Networked Systems Design and Implementation</t>
  </si>
  <si>
    <t>NSS</t>
  </si>
  <si>
    <t>Network and System Security</t>
  </si>
  <si>
    <t>NSV</t>
  </si>
  <si>
    <t>International Workshop on Numerical Software Verification</t>
  </si>
  <si>
    <t>NTMS</t>
  </si>
  <si>
    <t>IFIP International Conference on New Technologies, Mobility and Security</t>
  </si>
  <si>
    <t>OCEAN</t>
  </si>
  <si>
    <t>IEEE Oceans Conference</t>
  </si>
  <si>
    <t>OM</t>
  </si>
  <si>
    <t>International Workshop on Ontology Matching</t>
  </si>
  <si>
    <t>ONDM</t>
  </si>
  <si>
    <t>Conference on Optical Network Design and Modeling</t>
  </si>
  <si>
    <t>ONTOBRAS</t>
  </si>
  <si>
    <t>Seminar on Ontology Research in Brazil</t>
  </si>
  <si>
    <t>Onward!</t>
  </si>
  <si>
    <t>OOPSLA</t>
  </si>
  <si>
    <t>Conference on Object-Oriented Programming Systems, Languages, and Applications</t>
  </si>
  <si>
    <t>OpenSym</t>
  </si>
  <si>
    <t>International Symposium on Open Collaboration</t>
  </si>
  <si>
    <t>OPODIS</t>
  </si>
  <si>
    <t>International Conference on Principles of Distributed Systems</t>
  </si>
  <si>
    <t>OR</t>
  </si>
  <si>
    <t>International Conference on Operations Research</t>
  </si>
  <si>
    <t>OSDI</t>
  </si>
  <si>
    <t>USENIX Symposium on Operating Systems Design and Implementation</t>
  </si>
  <si>
    <t>OSS</t>
  </si>
  <si>
    <t>International Conference on Open Source Systems</t>
  </si>
  <si>
    <t>OzCHI</t>
  </si>
  <si>
    <t>Australian Conference on Human-Computer Interaction</t>
  </si>
  <si>
    <t>PAAMS</t>
  </si>
  <si>
    <t>International Conference on Practical Applications of Agents, Multi-Agent Systems and Sustainability</t>
  </si>
  <si>
    <t>PAAR</t>
  </si>
  <si>
    <t>Practical Aspects of Automated Reasoning</t>
  </si>
  <si>
    <t>PACBB</t>
  </si>
  <si>
    <t>International Conference on Practical Applications of Computational Biology &amp; Bioinformatics</t>
  </si>
  <si>
    <t>PacificVis</t>
  </si>
  <si>
    <t>IEEE Pacific Visualization Symposium</t>
  </si>
  <si>
    <t>PACIS</t>
  </si>
  <si>
    <t>Pacific Asia Conference on Information Systems</t>
  </si>
  <si>
    <t>PACT</t>
  </si>
  <si>
    <t>International Conference on Parallel Computing Technologies</t>
  </si>
  <si>
    <t>PACTT</t>
  </si>
  <si>
    <t>International Conference on Parallel Architectures and Compilation Techniques</t>
  </si>
  <si>
    <t>PAKDD</t>
  </si>
  <si>
    <t>Pacific-Asia Conference on Knowledge Discovery and Data Mining</t>
  </si>
  <si>
    <t>PAM</t>
  </si>
  <si>
    <t>Passive and Active Network Measurement Conference</t>
  </si>
  <si>
    <t>ParCO</t>
  </si>
  <si>
    <t>International Conference on Parallel Computing</t>
  </si>
  <si>
    <t>PATAT</t>
  </si>
  <si>
    <t>International Conference on the Practice and Theory of Automated Timetabling</t>
  </si>
  <si>
    <t>PATMOS</t>
  </si>
  <si>
    <t>International Workshop on Power and Timing Modeling, Optimization and Simulation</t>
  </si>
  <si>
    <t>PATTERNS</t>
  </si>
  <si>
    <t>International Conferences on Pervasive Patterns and Applications</t>
  </si>
  <si>
    <t>PDC</t>
  </si>
  <si>
    <t>Participatory Design Conference</t>
  </si>
  <si>
    <t>PDCAT</t>
  </si>
  <si>
    <t>International Conference on Parallel and Distributed Computing, Applications and Technologies</t>
  </si>
  <si>
    <t>PDES</t>
  </si>
  <si>
    <t>IFAC International Conference on Programmable Devices and Embedded Systems</t>
  </si>
  <si>
    <t>PDP</t>
  </si>
  <si>
    <t>Euromicro International Conference on Parallel, Distributed and Network-Based Processing</t>
  </si>
  <si>
    <t>PE-WASUN</t>
  </si>
  <si>
    <t>ACM International Symposium on Performance Evaluation of Wireless Ad Hoc, Sensor, and Ubiquitous Networks</t>
  </si>
  <si>
    <t>PECCS</t>
  </si>
  <si>
    <t>Pervasive and Embedded Computing and Communication Systems</t>
  </si>
  <si>
    <t>PERCOM</t>
  </si>
  <si>
    <t>International Conference on Pervasive Computing and Communications</t>
  </si>
  <si>
    <t>PerComW</t>
  </si>
  <si>
    <t>IEEE International Conference on Pervasive Computing and Communication Workshops</t>
  </si>
  <si>
    <t>PervasiveHealth</t>
  </si>
  <si>
    <t>International Conference on Pervasive Computing Technologies for Healthcare</t>
  </si>
  <si>
    <t>PESOS</t>
  </si>
  <si>
    <t>International Workshop on Principles of Engineering Service-Oriented and Cloud Systems</t>
  </si>
  <si>
    <t>PETRA</t>
  </si>
  <si>
    <t>ACM International Conference on PErvasive Technologies Related to Assistive Environments</t>
  </si>
  <si>
    <t>PG</t>
  </si>
  <si>
    <t>Pacific Conference on Computer Graphics and Applications</t>
  </si>
  <si>
    <t>PGM</t>
  </si>
  <si>
    <t>International Conference on Probabilistic Graphical Models</t>
  </si>
  <si>
    <t>PIMRC</t>
  </si>
  <si>
    <t>International Symposium on Personal, Indoor and Mobile Radio Communications</t>
  </si>
  <si>
    <t>PKC</t>
  </si>
  <si>
    <t>International Conference on Practice and Theory in Public Key Cryptography</t>
  </si>
  <si>
    <t>PLATIAL</t>
  </si>
  <si>
    <t>International Symposium on Platial Information Science</t>
  </si>
  <si>
    <t>PLDI</t>
  </si>
  <si>
    <t>SIGPLAN Conference on Programming Language Design and Implementation</t>
  </si>
  <si>
    <t>PLOP</t>
  </si>
  <si>
    <t>Conference on Pattern Languages of Programs</t>
  </si>
  <si>
    <t>PODC</t>
  </si>
  <si>
    <t>ACM Symposium on Principles of Distributed Computing</t>
  </si>
  <si>
    <t>PODS</t>
  </si>
  <si>
    <t>Symposium on Principles of Database Systems</t>
  </si>
  <si>
    <t>PoEM</t>
  </si>
  <si>
    <t>IFIP WG 8.1 Working Conference on the Practice of Enterprise Modelling</t>
  </si>
  <si>
    <t>POPL</t>
  </si>
  <si>
    <t>Symposium on Principles of Programming Languages</t>
  </si>
  <si>
    <t>POST</t>
  </si>
  <si>
    <t>International Conference on Principles of Security and Trust</t>
  </si>
  <si>
    <t>PP</t>
  </si>
  <si>
    <t>SIAM Conference on Parallel Processing for Scientific Computing</t>
  </si>
  <si>
    <t>PPAM</t>
  </si>
  <si>
    <t>International Conference on Parallel Processing and Applied Mathematics</t>
  </si>
  <si>
    <t>PPDP</t>
  </si>
  <si>
    <t>International Symposium on Principles and Practice of Declarative Programming</t>
  </si>
  <si>
    <t>PPOPP</t>
  </si>
  <si>
    <t>ACM SIGPLAN Symposium on Principles and Practice of Parallel Programming</t>
  </si>
  <si>
    <t>PPSN</t>
  </si>
  <si>
    <t>International Conference on Parallel Problem Solving from Nature</t>
  </si>
  <si>
    <t>PRDC</t>
  </si>
  <si>
    <t>Pacific Rim International Symposium on Dependable Computing</t>
  </si>
  <si>
    <t>PredictGIS</t>
  </si>
  <si>
    <t>International Workshop on Prediction of Human Mobility</t>
  </si>
  <si>
    <t>PRIMA</t>
  </si>
  <si>
    <t>nternational Conference on Principles and Practice of Multi-Agent Systems</t>
  </si>
  <si>
    <t>PrivOn</t>
  </si>
  <si>
    <t>Workshop on Society, Privacy and the Semantic Web</t>
  </si>
  <si>
    <t>PROFES</t>
  </si>
  <si>
    <t>International Conference on Product-Focused Software Process Improvement</t>
  </si>
  <si>
    <t>PROMISE</t>
  </si>
  <si>
    <t>International Conference on Predictive Models and Data Analytics in Software Engineering</t>
  </si>
  <si>
    <t>PROPOR</t>
  </si>
  <si>
    <t>International Conference on Computational Processing of the Portuguese Language</t>
  </si>
  <si>
    <t>PSB</t>
  </si>
  <si>
    <t>Pacific Symposium on Biocomputing</t>
  </si>
  <si>
    <t>PSCC</t>
  </si>
  <si>
    <t>Power Systems Computation Conference</t>
  </si>
  <si>
    <t>PST</t>
  </si>
  <si>
    <t>International Conference on Privacy, Security and Trust</t>
  </si>
  <si>
    <t>Q2SWinet</t>
  </si>
  <si>
    <t>ACM Symposium on QoS and Security for Wireless and Mobile Networks</t>
  </si>
  <si>
    <t>QoMEX</t>
  </si>
  <si>
    <t>International Workshop on Quality of Multimedia Experience</t>
  </si>
  <si>
    <t>QUATIC</t>
  </si>
  <si>
    <t>International Conference on Quality of Information and Communications Technology</t>
  </si>
  <si>
    <t>RADECS</t>
  </si>
  <si>
    <t>European Conference on Radiation and its Effects on Components and Systems</t>
  </si>
  <si>
    <t>RAHA</t>
  </si>
  <si>
    <t>IEEE Internacional Conference on Robotics and Automation for Humanitarian Applications</t>
  </si>
  <si>
    <t>RAID</t>
  </si>
  <si>
    <t>International Symposium on Research in Attacks, Intrusions, and Defenses</t>
  </si>
  <si>
    <t>RANLP</t>
  </si>
  <si>
    <t>International Conference on Recent Advances in Natural Language Processing</t>
  </si>
  <si>
    <t>RCAR</t>
  </si>
  <si>
    <t>IEEE International Conference on Real-time Computing and Robotics</t>
  </si>
  <si>
    <t>RCIS</t>
  </si>
  <si>
    <t>International Conference on Research Challenges in Information Science</t>
  </si>
  <si>
    <t>RE</t>
  </si>
  <si>
    <t>IEEE International Requirements Engineering Conference</t>
  </si>
  <si>
    <t>REBLS</t>
  </si>
  <si>
    <t>Workshop on Reactive and Event-Based Languages and Systems</t>
  </si>
  <si>
    <t>RECOMB</t>
  </si>
  <si>
    <t>International Conference on Research in Computational Molecular Biology</t>
  </si>
  <si>
    <t>RECONFIG</t>
  </si>
  <si>
    <t>International Conference on Reconfigurable Computing and FPGAs</t>
  </si>
  <si>
    <t>RECOSOC</t>
  </si>
  <si>
    <t>International Symposium on Reconfigurable Communication-centric Systems-on-Chip</t>
  </si>
  <si>
    <t>RECSYS</t>
  </si>
  <si>
    <t>ACM Conference on Recommender Systems</t>
  </si>
  <si>
    <t>REFSQ</t>
  </si>
  <si>
    <t>International Working Conference on Requirements Engineering: Foundations for Software Quality</t>
  </si>
  <si>
    <t>RICE</t>
  </si>
  <si>
    <t>International Conference on Research in Intelligent and Computing in Engineering</t>
  </si>
  <si>
    <t>RITA</t>
  </si>
  <si>
    <t>International Conference on Robot Intelligence Technology and Applications</t>
  </si>
  <si>
    <t>RO-MAN</t>
  </si>
  <si>
    <t>IEEE International Symposium on Robot and Human Interactive Communication</t>
  </si>
  <si>
    <t>ROBIO</t>
  </si>
  <si>
    <t>IEEE International Conference on Robotics and Biomimetics</t>
  </si>
  <si>
    <t>ROBOCUP</t>
  </si>
  <si>
    <t>Robocup International Symposium</t>
  </si>
  <si>
    <t>RoboSoft</t>
  </si>
  <si>
    <t>IEEE International Conference on Soft Robotics</t>
  </si>
  <si>
    <t>ROBOT</t>
  </si>
  <si>
    <t>Iberian Robotics Conference</t>
  </si>
  <si>
    <t>RoMoCo</t>
  </si>
  <si>
    <t>International Workshop on Robot Motion and Control</t>
  </si>
  <si>
    <t>ROOTS</t>
  </si>
  <si>
    <t>Reversing and Offensive-Oriented Trends Symposium</t>
  </si>
  <si>
    <t>ROSE</t>
  </si>
  <si>
    <t>IEEE International Symposium on Robotic and Sensors Environments</t>
  </si>
  <si>
    <t>RSP</t>
  </si>
  <si>
    <t>IEEE International Symposium on Rapid System Prototyping</t>
  </si>
  <si>
    <t>RSS</t>
  </si>
  <si>
    <t>Robotics: Science and Systems</t>
  </si>
  <si>
    <t>RTAS</t>
  </si>
  <si>
    <t>IEEE REAL-TIME AND EMBEDDED TECHNOLOGY AND APPLICATIONS SYMPOSIUM</t>
  </si>
  <si>
    <t>RTCSA</t>
  </si>
  <si>
    <t>International Conference on Embedded and Real-Time Computing Systems and Applications</t>
  </si>
  <si>
    <t>RTIS</t>
  </si>
  <si>
    <t>International Conference on Real Time Intelligent Systems</t>
  </si>
  <si>
    <t>RTSS</t>
  </si>
  <si>
    <t>Real-Time Systems Symposium</t>
  </si>
  <si>
    <t>RuleML+RR</t>
  </si>
  <si>
    <t>International Joint Conference on Rules and Reasoning</t>
  </si>
  <si>
    <t>S&amp;P</t>
  </si>
  <si>
    <t>IEEE Symposium on Security and Privacy</t>
  </si>
  <si>
    <t>SAC</t>
  </si>
  <si>
    <t>ACM Symposium on Applied Computing</t>
  </si>
  <si>
    <t>SACI</t>
  </si>
  <si>
    <t>IEEE International Symposium on Applied Computational Intelligence and Informatics</t>
  </si>
  <si>
    <t>SACMAT</t>
  </si>
  <si>
    <t>ACM Symposium on Access Control Models and Technologies</t>
  </si>
  <si>
    <t>SACRYPT</t>
  </si>
  <si>
    <t>Workshop on Selected Areas in Cryptography</t>
  </si>
  <si>
    <t>SAFECOMP</t>
  </si>
  <si>
    <t>International Conference on Computer Safety, Reliability, and Security</t>
  </si>
  <si>
    <t>SAMOS</t>
  </si>
  <si>
    <t>International Conference on Embedded Computer Systems: Architectures, Modeling and Simulation</t>
  </si>
  <si>
    <t>SANER</t>
  </si>
  <si>
    <t>IEEE International Conference on Software Analysis, Evolution and Reengineering</t>
  </si>
  <si>
    <t>SARNOFF</t>
  </si>
  <si>
    <t>IEEE Sarnoff Symposium</t>
  </si>
  <si>
    <t>SAS</t>
  </si>
  <si>
    <t>IEEE Sensors Applications Symposium</t>
  </si>
  <si>
    <t>SAST</t>
  </si>
  <si>
    <t>Brazilian Symposium on Systematic and Automated Software Testing</t>
  </si>
  <si>
    <t>SAT</t>
  </si>
  <si>
    <t>International Conference on Theory and Applications of Satisfiability Testing</t>
  </si>
  <si>
    <t>SBAC-PAD</t>
  </si>
  <si>
    <t>International Symposium on Computer Architecture and High Performance Computing</t>
  </si>
  <si>
    <t>SBACPADW</t>
  </si>
  <si>
    <t>International Symposium on Computer Architecture and High Performance Computing Workshop</t>
  </si>
  <si>
    <t>SBAI</t>
  </si>
  <si>
    <t>Simpósio Brasileiro de Automação Inteligente</t>
  </si>
  <si>
    <t>SBBD</t>
  </si>
  <si>
    <t>Simpósio Brasileiro de Banco de Dados</t>
  </si>
  <si>
    <t>SBCARS</t>
  </si>
  <si>
    <t>Brazilian Symposium on Components, Architectures and Reuse Software</t>
  </si>
  <si>
    <t>SBCAS</t>
  </si>
  <si>
    <t>Simpósio Brasileiro de Computação Aplicada à Saúde</t>
  </si>
  <si>
    <t>SBCCI</t>
  </si>
  <si>
    <t>Symposium on Integrated Circuits and Systems Design</t>
  </si>
  <si>
    <t>SBCM</t>
  </si>
  <si>
    <t>Simpósio Brasileiro de Computação Musical</t>
  </si>
  <si>
    <t>SBCUP</t>
  </si>
  <si>
    <t>Simpósio Brasileiro de Computação Ubíqua e Pervasiva</t>
  </si>
  <si>
    <t>SBES</t>
  </si>
  <si>
    <t>Brazilian Symposium on Software Engineering</t>
  </si>
  <si>
    <t>SBESC</t>
  </si>
  <si>
    <t>Brazilian Symposium on Computing Systems Engineering</t>
  </si>
  <si>
    <t>SBIAGRO</t>
  </si>
  <si>
    <t>Congresso Brasileiro de Agroinformática</t>
  </si>
  <si>
    <t>SBIE</t>
  </si>
  <si>
    <t>Simpósio Brasileiro de Informática na Educação</t>
  </si>
  <si>
    <t>SBLP</t>
  </si>
  <si>
    <t>Brazilian Symposium on Programming Languages</t>
  </si>
  <si>
    <t>SBMF</t>
  </si>
  <si>
    <t>Brazilian Symposium on Formal Methods</t>
  </si>
  <si>
    <t>SBMICRO</t>
  </si>
  <si>
    <t>Symposium on Microelectronics Technology and Devices</t>
  </si>
  <si>
    <t>SBPO</t>
  </si>
  <si>
    <t>Simpósio Brasileiro de Pesquisa Operacional</t>
  </si>
  <si>
    <t>SBQS</t>
  </si>
  <si>
    <t>Simpósio Brasileiro de Qualidade de Software</t>
  </si>
  <si>
    <t>SBRC</t>
  </si>
  <si>
    <t>Simpósio Brasileiro de Redes de Computadores e Sistemas Distribuídos</t>
  </si>
  <si>
    <t>SBrT</t>
  </si>
  <si>
    <t>Simpósio Brasileiro de Telecomunicações e Processamento de Sinais</t>
  </si>
  <si>
    <t>SBSC</t>
  </si>
  <si>
    <t>Simpósio Brasileiro de Sistemas Colaborativos</t>
  </si>
  <si>
    <t>SBSeg</t>
  </si>
  <si>
    <t>Simpósio Brasileiro de Segurança da Informação e de Sistemas Computacionais</t>
  </si>
  <si>
    <t>SBSI</t>
  </si>
  <si>
    <t>Simpósio Brasileiro de Sistemas de Informação</t>
  </si>
  <si>
    <t>SBSR</t>
  </si>
  <si>
    <t>Simpósio Brasileiro de Sensoriamento Remoto</t>
  </si>
  <si>
    <t>SBTI</t>
  </si>
  <si>
    <t>Simpósio Brasileiro de Tecnologia da Informação</t>
  </si>
  <si>
    <t>SC</t>
  </si>
  <si>
    <t>International Conference for High Performance Computing, Networking, Storage and Analysis</t>
  </si>
  <si>
    <t>SCA</t>
  </si>
  <si>
    <t>ACM SIGGRAPH/Eurographics Symposium on Computer Animation</t>
  </si>
  <si>
    <t>SCAM</t>
  </si>
  <si>
    <t>IEEE International Working Conference on Source Code Analysis and Manipulation</t>
  </si>
  <si>
    <t>SCCTSA</t>
  </si>
  <si>
    <t>International Workshop on Smart City Clouds: Technologies, Systems and Applications</t>
  </si>
  <si>
    <t>SciVis</t>
  </si>
  <si>
    <t>IEEE Scientific Visualization</t>
  </si>
  <si>
    <t>SCOPES</t>
  </si>
  <si>
    <t>Software and Compilers for Embedded Systems</t>
  </si>
  <si>
    <t>SDM</t>
  </si>
  <si>
    <t>SIAM International Conference on Data Mining</t>
  </si>
  <si>
    <t>SDPC</t>
  </si>
  <si>
    <t>International Conference on Sensing, Diagnostics, Prognostics, and Control</t>
  </si>
  <si>
    <t>SDS</t>
  </si>
  <si>
    <t>International Conference on Software Defined Systems</t>
  </si>
  <si>
    <t>SE4Science</t>
  </si>
  <si>
    <t>International Workshop on Software Engineering for Science</t>
  </si>
  <si>
    <t>SEA</t>
  </si>
  <si>
    <t>International Symposium on Experimental Algorithms</t>
  </si>
  <si>
    <t>SEAA</t>
  </si>
  <si>
    <t>Euromicro Conference on Software Engineering and Advanced Applications</t>
  </si>
  <si>
    <t>SeAC</t>
  </si>
  <si>
    <t>Workshop on Self-Aware Computing</t>
  </si>
  <si>
    <t>SEAMS</t>
  </si>
  <si>
    <t>International Symposium on Software Engineering for Adaptive and Self-Managing Systems</t>
  </si>
  <si>
    <t>SEC</t>
  </si>
  <si>
    <t>International Conference on ICT Systems Security and Privacy Protection</t>
  </si>
  <si>
    <t>SeCoGis</t>
  </si>
  <si>
    <t>International Workshop on Semantic and Conceptual Issues in Geographic Information Systems</t>
  </si>
  <si>
    <t>SECON</t>
  </si>
  <si>
    <t>IEEE International Conference on Sensing, Communication and Networking</t>
  </si>
  <si>
    <t>SECRYPT</t>
  </si>
  <si>
    <t>International Conference on Security and Cryptography</t>
  </si>
  <si>
    <t>SEFM</t>
  </si>
  <si>
    <t>International Conference on Software Engineering and Formal Methods</t>
  </si>
  <si>
    <t>SEGAH</t>
  </si>
  <si>
    <t>International Conference on Serious Games and Applications for Health</t>
  </si>
  <si>
    <t>SEKE</t>
  </si>
  <si>
    <t>International Conference on Software Engineering and Knowledge Engineering</t>
  </si>
  <si>
    <t>SEMEVAL</t>
  </si>
  <si>
    <t>International Workshop on Semantic Evaluation</t>
  </si>
  <si>
    <t>SEMISH</t>
  </si>
  <si>
    <t>Seminário Integrado de Software e Hardware</t>
  </si>
  <si>
    <t>SENSORNETS</t>
  </si>
  <si>
    <t>International Conference on Sensor Networks</t>
  </si>
  <si>
    <t>SenSys</t>
  </si>
  <si>
    <t>ACM Conference on Embedded Network Sensor Systems</t>
  </si>
  <si>
    <t>SEPLN</t>
  </si>
  <si>
    <t>CONFERENCE OF THE SPANISH SOCIETY FOR NATURAL LANGUAGE PROCESSING</t>
  </si>
  <si>
    <t>SERA</t>
  </si>
  <si>
    <t>Software Engineering Research, Management and Applications</t>
  </si>
  <si>
    <t>SERIAL</t>
  </si>
  <si>
    <t>Workshop on Scalable and Resilient Infrastructures for Distributed Ledgers</t>
  </si>
  <si>
    <t>SERP4IoT</t>
  </si>
  <si>
    <t>International Workshop on Software Engineering Research &amp; Practices for the Internet of Things</t>
  </si>
  <si>
    <t>SERVICES</t>
  </si>
  <si>
    <t>IEEE World Congress on Services</t>
  </si>
  <si>
    <t>SESoS</t>
  </si>
  <si>
    <t>International Workshop on Software Engineering for Systems-of-Systems</t>
  </si>
  <si>
    <t>SeWeBMeDA</t>
  </si>
  <si>
    <t>Workshop on Semantic Web Solutions for Large-Scale Biomedical</t>
  </si>
  <si>
    <t>SGP</t>
  </si>
  <si>
    <t>Eurographics Symposium on Geometry Processing</t>
  </si>
  <si>
    <t>SIBGRAPI</t>
  </si>
  <si>
    <t>Conference on Graphics, Patterns and Images</t>
  </si>
  <si>
    <t>SIES</t>
  </si>
  <si>
    <t>International Symposium on Industrial Embedded Systems</t>
  </si>
  <si>
    <t>SIGCOMM</t>
  </si>
  <si>
    <t>ACM SIGCOMM Conference</t>
  </si>
  <si>
    <t>SIGCSE</t>
  </si>
  <si>
    <t>ACM Technical Symposium on Computer Science Education</t>
  </si>
  <si>
    <t>SIGDIAL</t>
  </si>
  <si>
    <t>Annual Meeting of the Special Interest Group on Discourse and Dialogue</t>
  </si>
  <si>
    <t>SIGDOC</t>
  </si>
  <si>
    <t>ACM International Conference on Design of Communication</t>
  </si>
  <si>
    <t>SIGGRAPH</t>
  </si>
  <si>
    <t>International Conference and Exibition on Computer Graphics and Interactive Techniques</t>
  </si>
  <si>
    <t>SIGGRAPH Asia</t>
  </si>
  <si>
    <t>ACM International Conference On Computer Graphics &amp; Interactive Techniques / Asia</t>
  </si>
  <si>
    <t>SIGIR</t>
  </si>
  <si>
    <t>International ACM SIGIR Conference on Research and Development in Information Retrieval</t>
  </si>
  <si>
    <t>SIGIReCom</t>
  </si>
  <si>
    <t>SIGIR Workshop on eCommerce</t>
  </si>
  <si>
    <t>SIGKDD</t>
  </si>
  <si>
    <t>ACM International Conference on Knowledge Discovery and Data Mining</t>
  </si>
  <si>
    <t>SIGMOD</t>
  </si>
  <si>
    <t>ACM Conference on Management of Data</t>
  </si>
  <si>
    <t>SIGSE</t>
  </si>
  <si>
    <t>SIGSPATIAL</t>
  </si>
  <si>
    <t>ACM SIGSPATIAL International Conference on Advances in Geographic Information Systems</t>
  </si>
  <si>
    <t>SII</t>
  </si>
  <si>
    <t>IEEE/SICE International Symposium on System Integration</t>
  </si>
  <si>
    <t>SIIE</t>
  </si>
  <si>
    <t>Simpósio Internacional de Informática Educatica</t>
  </si>
  <si>
    <t>SIMBig</t>
  </si>
  <si>
    <t>Annual International Symposium on Information Management and Big Data</t>
  </si>
  <si>
    <t>SIMPAR</t>
  </si>
  <si>
    <t>IEEE International Conference on Simulation, Modeling, and Programming for Autonomous Robots</t>
  </si>
  <si>
    <t>SIMPDA</t>
  </si>
  <si>
    <t>International Sysmposium on Data-Driven Process Discovery and Analysis</t>
  </si>
  <si>
    <t>SIMULTECH</t>
  </si>
  <si>
    <t>International Conference on Simulation and Modeling Methodologies, Technologies and Applications</t>
  </si>
  <si>
    <t>SIoT</t>
  </si>
  <si>
    <t>International Workshop on Secure Internet of Things</t>
  </si>
  <si>
    <t>SISAP</t>
  </si>
  <si>
    <t>nternational Conference on Similarity Search and Applications</t>
  </si>
  <si>
    <t>SLATE</t>
  </si>
  <si>
    <t>Symposium on Languages, Applications and Technologies</t>
  </si>
  <si>
    <t>SLE</t>
  </si>
  <si>
    <t>ACM SIGPLAN International Conference on Software Language Engineering</t>
  </si>
  <si>
    <t>SLERD</t>
  </si>
  <si>
    <t>Conference on Smart Learning Ecosystems and Regional Development</t>
  </si>
  <si>
    <t>SMARTCOMP</t>
  </si>
  <si>
    <t>International Conference on Smart Computing</t>
  </si>
  <si>
    <t>SMARTGREENS</t>
  </si>
  <si>
    <t>International Conference on Smart Grids and Green ICT Systems</t>
  </si>
  <si>
    <t>SMARTGRIDCOMM</t>
  </si>
  <si>
    <t>IEEE International Conference on Smart Grid Communications</t>
  </si>
  <si>
    <t>SMC</t>
  </si>
  <si>
    <t>IEEE International Conference on Systems, Man and Cybernetics</t>
  </si>
  <si>
    <t>SMusC</t>
  </si>
  <si>
    <t>Sound and Music Computing Conference</t>
  </si>
  <si>
    <t>SNAA</t>
  </si>
  <si>
    <t>Workshop on Social Network Analysis in Applications</t>
  </si>
  <si>
    <t>SOCA</t>
  </si>
  <si>
    <t>IEEE Conference on Service-Oriented Computing and Applications</t>
  </si>
  <si>
    <t>SOCC</t>
  </si>
  <si>
    <t>IEEE International System-on-Chip Conference</t>
  </si>
  <si>
    <t>SoCG</t>
  </si>
  <si>
    <t>International Symposium on Computational Geometry</t>
  </si>
  <si>
    <t>SOCIALCOM</t>
  </si>
  <si>
    <t>International Conference on Social Computing</t>
  </si>
  <si>
    <t>SOCINFO</t>
  </si>
  <si>
    <t>International Conference on Social Informatics</t>
  </si>
  <si>
    <t>SoCPaR</t>
  </si>
  <si>
    <t>International Conference on Soft Computing and Pattern Recognition</t>
  </si>
  <si>
    <t>SODA</t>
  </si>
  <si>
    <t>ACM-SIAM Symposium on Discrete Algorithms</t>
  </si>
  <si>
    <t>SOFSEM</t>
  </si>
  <si>
    <t>International Conference on Current Trends in Theory and Practice of Computer Science</t>
  </si>
  <si>
    <t>SOFTCOM</t>
  </si>
  <si>
    <t>International Conference on Software, Telecommunications and Computer Networks</t>
  </si>
  <si>
    <t>SOFTENG-IARIA</t>
  </si>
  <si>
    <t>IARIA International Conference on Advances and Trends in Software Engineering</t>
  </si>
  <si>
    <t>SoftStart</t>
  </si>
  <si>
    <t>International Workshop on Software Engineering for Startups</t>
  </si>
  <si>
    <t>SORT</t>
  </si>
  <si>
    <t>IEEE Workshop on Self-Organizing Real-Time Systems</t>
  </si>
  <si>
    <t>SOSE</t>
  </si>
  <si>
    <t>IEEE International Symposium on Service-Oriented System Engineering</t>
  </si>
  <si>
    <t>SoSEC</t>
  </si>
  <si>
    <t>IEEE Annual System of Systems Engineering Conference</t>
  </si>
  <si>
    <t>SOSP</t>
  </si>
  <si>
    <t>ACM Symposium on Operating Systems Principles</t>
  </si>
  <si>
    <t>SOSR</t>
  </si>
  <si>
    <t>Symposium on Software Defined Networking Research</t>
  </si>
  <si>
    <t>SOUPS</t>
  </si>
  <si>
    <t>Symposium On Usable Privacy and Security</t>
  </si>
  <si>
    <t>SoWeMi</t>
  </si>
  <si>
    <t>International Workshop on Mining the Social Web</t>
  </si>
  <si>
    <t>SPAA</t>
  </si>
  <si>
    <t>ACM Symposium on Parallelism in Algorithms and Architectures</t>
  </si>
  <si>
    <t>SpaCCS</t>
  </si>
  <si>
    <t>International Conference on Security, Privacy and Anonymity in Computation, Communication and Storage</t>
  </si>
  <si>
    <t>SPACE</t>
  </si>
  <si>
    <t>International Conference on Security, Privacy, and Applied Cryptography Engineering</t>
  </si>
  <si>
    <t>SpatialBigData</t>
  </si>
  <si>
    <t>Spatial Big Data and Machine Learning in GIScience</t>
  </si>
  <si>
    <t>SpatialGems</t>
  </si>
  <si>
    <t>ACM SIGSPATIAL International Workshop on Spatial Gems</t>
  </si>
  <si>
    <t>SPIRE</t>
  </si>
  <si>
    <t>International Symposium on String Processing and Information Retrieval</t>
  </si>
  <si>
    <t>SPLASH</t>
  </si>
  <si>
    <t>ACM SIGPLAN Conference on Systems, Programming, Languages, and Applications: Software for Humanity</t>
  </si>
  <si>
    <t>SPLC</t>
  </si>
  <si>
    <t>International Software Product Line Conference</t>
  </si>
  <si>
    <t>SPM</t>
  </si>
  <si>
    <t>International Conference on Signal, Image Processing and Multimedia</t>
  </si>
  <si>
    <t>SpringSim</t>
  </si>
  <si>
    <t>Spring Simulation Conference</t>
  </si>
  <si>
    <t>SRDS</t>
  </si>
  <si>
    <t>IEEE Symposium on Reliable Distributed Systems</t>
  </si>
  <si>
    <t>SSBSE</t>
  </si>
  <si>
    <t>International Symposium on Search Based Software Engineering</t>
  </si>
  <si>
    <t>SSCC</t>
  </si>
  <si>
    <t>International Symposium on Security in Computing and Communications</t>
  </si>
  <si>
    <t>SSCI</t>
  </si>
  <si>
    <t>IEEE Symposium Series on Computational Intelligence</t>
  </si>
  <si>
    <t>SSDBM</t>
  </si>
  <si>
    <t>International Conference on Scientific and Statistical Database Management</t>
  </si>
  <si>
    <t>SSIAI</t>
  </si>
  <si>
    <t>Southwest Symposium on Image Analysis and Interpretation</t>
  </si>
  <si>
    <t>SSPR</t>
  </si>
  <si>
    <t>International Workshop on Structural and Syntactic Pattern Recognition</t>
  </si>
  <si>
    <t>SSRR</t>
  </si>
  <si>
    <t>International Symposium on Safety, Security and Rescue Robotics</t>
  </si>
  <si>
    <t>SSTD</t>
  </si>
  <si>
    <t>International Symposium on Spatial and Temporal Databases</t>
  </si>
  <si>
    <t>STACS</t>
  </si>
  <si>
    <t>Symposium on Theoretical Aspects of Computer Science</t>
  </si>
  <si>
    <t>STIL</t>
  </si>
  <si>
    <t>Brazilian Symposium in Information and Human Language Technology</t>
  </si>
  <si>
    <t>STOC</t>
  </si>
  <si>
    <t>ACM Symposium on Theory of Computing</t>
  </si>
  <si>
    <t>SUGARLOAFPLOP</t>
  </si>
  <si>
    <t>Latin American Conference on Pattern Languages of Programs</t>
  </si>
  <si>
    <t>SUI</t>
  </si>
  <si>
    <t>Symposium on Spatial User Interaction</t>
  </si>
  <si>
    <t>SUM</t>
  </si>
  <si>
    <t>International Conference on Scalable Uncertainty Management</t>
  </si>
  <si>
    <t>SustainIT</t>
  </si>
  <si>
    <t>Conference on Sustainable Internet and ICT for Sustainability</t>
  </si>
  <si>
    <t>SVR</t>
  </si>
  <si>
    <t>Symposium on Virtual and Augmented Reality</t>
  </si>
  <si>
    <t>SWAT</t>
  </si>
  <si>
    <t>Scandinavian Workshop on Algorithm Theory</t>
  </si>
  <si>
    <t>SWQD</t>
  </si>
  <si>
    <t>Conference Software Quality Days</t>
  </si>
  <si>
    <t>SYSCON</t>
  </si>
  <si>
    <t>IEEE International Systems Conference</t>
  </si>
  <si>
    <t>SYSTOL</t>
  </si>
  <si>
    <t>Conference on Control and Fault-Tolerant Systems</t>
  </si>
  <si>
    <t>TABLEAUX</t>
  </si>
  <si>
    <t>International Conference on Automated Reasoning with Analytic Tableaux and Related Methods</t>
  </si>
  <si>
    <t>TAC</t>
  </si>
  <si>
    <t>Text Analysis Conference</t>
  </si>
  <si>
    <t>TACAS</t>
  </si>
  <si>
    <t>International Conference on Tools and Algorithms for the Construction and Analysis of Systems</t>
  </si>
  <si>
    <t>TAPAS</t>
  </si>
  <si>
    <t>Workshop on Tools for Automatic Program Analysis</t>
  </si>
  <si>
    <t>TAROS</t>
  </si>
  <si>
    <t>Conference Towards Autonomous Robotics Systems</t>
  </si>
  <si>
    <t>TASE</t>
  </si>
  <si>
    <t>Theoretical Aspects of Software Engineering</t>
  </si>
  <si>
    <t>TCC</t>
  </si>
  <si>
    <t>Theory of Cryptography</t>
  </si>
  <si>
    <t>TechDebt</t>
  </si>
  <si>
    <t>International Conference on Technical Debt</t>
  </si>
  <si>
    <t>TEEM</t>
  </si>
  <si>
    <t>Technological Ecosystems for Enhancing Multiculturality</t>
  </si>
  <si>
    <t>TEI</t>
  </si>
  <si>
    <t>International Conference on Tangible, Embedded and Embodied Interaction</t>
  </si>
  <si>
    <t>TextGraphs</t>
  </si>
  <si>
    <t>Workshop on Graph-based Methods for Natural Language Processing</t>
  </si>
  <si>
    <t>TIMBRE</t>
  </si>
  <si>
    <t>Interdisciplinary Workshop on Timbre</t>
  </si>
  <si>
    <t>TISE</t>
  </si>
  <si>
    <t>Congreso Internacional de Informática Educativa</t>
  </si>
  <si>
    <t>TPDL</t>
  </si>
  <si>
    <t>International Conference on Theory and Practice of Digital Libraries</t>
  </si>
  <si>
    <t>TREC</t>
  </si>
  <si>
    <t>Text Retrieval Conference</t>
  </si>
  <si>
    <t>TRUST</t>
  </si>
  <si>
    <t>International Workshop on Trust in Agent societies</t>
  </si>
  <si>
    <t>TRUSTCOM</t>
  </si>
  <si>
    <t>International Conference on Trust, Security and Privacy in Computing and Communications</t>
  </si>
  <si>
    <t>TSD</t>
  </si>
  <si>
    <t>International Conference on Text, Speech and Dialogue</t>
  </si>
  <si>
    <t>TVX</t>
  </si>
  <si>
    <t>ACM International Conference on Interactive Experiences for TV and Online Video</t>
  </si>
  <si>
    <t>UAI</t>
  </si>
  <si>
    <t>Conference on Uncertainty in Artificial Intelligence</t>
  </si>
  <si>
    <t>UBICOMM-IARIA</t>
  </si>
  <si>
    <t>IARIA International Conference on Mobile Ubiquitous Computing, Systems, Services and Technologies</t>
  </si>
  <si>
    <t>UbiComp</t>
  </si>
  <si>
    <t>ACM International Joint Conference on Pervasive and Ubiquitous Computing</t>
  </si>
  <si>
    <t>UBIMUS</t>
  </si>
  <si>
    <t>Workshop de Música Ubíqua</t>
  </si>
  <si>
    <t>UCAMI</t>
  </si>
  <si>
    <t>International Conference on Ubiquitous Computing and Ambient Intelligence</t>
  </si>
  <si>
    <t>UCC</t>
  </si>
  <si>
    <t>IEEE/ACM International Conference on Utility and Cloud Computing</t>
  </si>
  <si>
    <t>UIC</t>
  </si>
  <si>
    <t>IEEE International Conference on Ubiquitous Intelligence and Computing</t>
  </si>
  <si>
    <t>UIST</t>
  </si>
  <si>
    <t>ACM User Interface Software Technology Symposium</t>
  </si>
  <si>
    <t>UKSIM</t>
  </si>
  <si>
    <t>International Conference on Computer Modelling and Simulation</t>
  </si>
  <si>
    <t>UMAP</t>
  </si>
  <si>
    <t>International Conference on User Modeling, Adaptation and Personalization</t>
  </si>
  <si>
    <t>UNET</t>
  </si>
  <si>
    <t>International Symposium on Ubiquitous Networking</t>
  </si>
  <si>
    <t>UNIF</t>
  </si>
  <si>
    <t>International Workshop on Unification</t>
  </si>
  <si>
    <t>UR</t>
  </si>
  <si>
    <t>International Conference on Ubiquitous Robots and Ambient Intelligence</t>
  </si>
  <si>
    <t>USENIX Security</t>
  </si>
  <si>
    <t>USENIX Security Symposium</t>
  </si>
  <si>
    <t>USIHC</t>
  </si>
  <si>
    <t>Congresso Internacional de Ergonomia e Usabilidade de Interfaces Humano Computador</t>
  </si>
  <si>
    <t>UTP</t>
  </si>
  <si>
    <t>International Symposium on Unifying Theories of Programming</t>
  </si>
  <si>
    <t>VALUETOOLS</t>
  </si>
  <si>
    <t>EAI International Conference on Performance Evaluation Methodologies and Tools</t>
  </si>
  <si>
    <t>VAMOS</t>
  </si>
  <si>
    <t>International Workshop on Variability Modelling of Software-intensive Systems</t>
  </si>
  <si>
    <t>VarDial</t>
  </si>
  <si>
    <t>Workshop on NLP for Similar Languages, Varieties and Dialects</t>
  </si>
  <si>
    <t>VAST</t>
  </si>
  <si>
    <t>IEEE Conference on Visual Analytics Science and Technology</t>
  </si>
  <si>
    <t>VCIP</t>
  </si>
  <si>
    <t>IEEE International Conference on Visual Communications and Image Processing</t>
  </si>
  <si>
    <t>VECIMS/CIVEMSA</t>
  </si>
  <si>
    <t>IEEE International Conference on Virtual Environments Human-Computer Interfaces and Measurement Systems</t>
  </si>
  <si>
    <t>VECPAR</t>
  </si>
  <si>
    <t>International Meeting on High Performance Computing for Computational Science</t>
  </si>
  <si>
    <t>VEE</t>
  </si>
  <si>
    <t>International Conference on Virtual Execution Environments</t>
  </si>
  <si>
    <t>VEM</t>
  </si>
  <si>
    <t>Workshop on Software Visualization, Evolution and Maintenance</t>
  </si>
  <si>
    <t>Videojogos</t>
  </si>
  <si>
    <t>Conference on Videogame Sciences and Arts</t>
  </si>
  <si>
    <t>VISAPP</t>
  </si>
  <si>
    <t>International Conference on Computer Vision Theory and Applications</t>
  </si>
  <si>
    <t>VISIGRAPP</t>
  </si>
  <si>
    <t>Conference on Computer Vision, Imaging and Computer Graphics Theory and Applications</t>
  </si>
  <si>
    <t>VISSOFT</t>
  </si>
  <si>
    <t>IEEE Working Conference on Software Visualization</t>
  </si>
  <si>
    <t>VLDB</t>
  </si>
  <si>
    <t>International Conference on Very Large Data Bases</t>
  </si>
  <si>
    <t>VLHCC</t>
  </si>
  <si>
    <t>IEEE Symposium on Visual Languages and Human-Centric Computing</t>
  </si>
  <si>
    <t>VLSI</t>
  </si>
  <si>
    <t>International Conference on Very Large Scale Integration</t>
  </si>
  <si>
    <t>VLSI-DAT</t>
  </si>
  <si>
    <t>International Symposium on VLSI Design, Automation and Test</t>
  </si>
  <si>
    <t>VLSI-SOC</t>
  </si>
  <si>
    <t>IEEE/IFIP International Conference on VLSI and System-on-Chip</t>
  </si>
  <si>
    <t>VLSID</t>
  </si>
  <si>
    <t>International Conference on VLSI Design</t>
  </si>
  <si>
    <t>VMV</t>
  </si>
  <si>
    <t>Vision, Modeling &amp; Visualization</t>
  </si>
  <si>
    <t>VNC</t>
  </si>
  <si>
    <t>IEEE Vehicular Networking Conference</t>
  </si>
  <si>
    <t>VOILA</t>
  </si>
  <si>
    <t>Visualization and Interaction for Ontologies and Linked Data</t>
  </si>
  <si>
    <t>VR</t>
  </si>
  <si>
    <t>IEEE Virtual Reality Conference</t>
  </si>
  <si>
    <t>VRCAI</t>
  </si>
  <si>
    <t>International Conference on Virtual Reality Continuum and its Applications</t>
  </si>
  <si>
    <t>VRST</t>
  </si>
  <si>
    <t>ACM Symposium on Virtual Reality Software and Technology</t>
  </si>
  <si>
    <t>VS-Games</t>
  </si>
  <si>
    <t>International Conference on Virtual Worlds and Games for Serious Applications</t>
  </si>
  <si>
    <t>VSMM</t>
  </si>
  <si>
    <t>International Conference on Virtual Systems and MultiMedia</t>
  </si>
  <si>
    <t>VTC</t>
  </si>
  <si>
    <t>Vehicular Technology Conference</t>
  </si>
  <si>
    <t>VTS</t>
  </si>
  <si>
    <t>IEEE VLSI Test Symposium</t>
  </si>
  <si>
    <t>W2GIS</t>
  </si>
  <si>
    <t>International Symposium Web and Wireless Geographical Information Systems</t>
  </si>
  <si>
    <t>W4A</t>
  </si>
  <si>
    <t>Conference on Web Accessibility</t>
  </si>
  <si>
    <t>WABI</t>
  </si>
  <si>
    <t>Workshop on Algorithms in Bioinformatics</t>
  </si>
  <si>
    <t>WAC</t>
  </si>
  <si>
    <t>Web Audio Conference</t>
  </si>
  <si>
    <t>WACV</t>
  </si>
  <si>
    <t>Workshop on Applications of Computer Vision</t>
  </si>
  <si>
    <t>WADS</t>
  </si>
  <si>
    <t>Algorithms and Data Structures Symposium</t>
  </si>
  <si>
    <t>WAFR</t>
  </si>
  <si>
    <t>Workshop on the Algorithmic Foundations of Robotics</t>
  </si>
  <si>
    <t>WAIHCWS</t>
  </si>
  <si>
    <t>Workshop sobre Aspectos da Interação Humano-Computador para a Web Social</t>
  </si>
  <si>
    <t>WALCOM</t>
  </si>
  <si>
    <t>International Workshop on Algorithms and Computation</t>
  </si>
  <si>
    <t>WAlgProg</t>
  </si>
  <si>
    <t>Workshop de Ensino em Pensamento Computacional, Algoritmos e Programação</t>
  </si>
  <si>
    <t>WAOA</t>
  </si>
  <si>
    <t>Workshop on Approximation and Online Algorithms</t>
  </si>
  <si>
    <t>WASHES</t>
  </si>
  <si>
    <t>Workshop sobre Aspectos Sociais, Humanos e Econômicos de Software</t>
  </si>
  <si>
    <t>WASPAA</t>
  </si>
  <si>
    <t>IEEE Workshop on Applications of Signal Processing to Audio and Acoustics</t>
  </si>
  <si>
    <t>WASSA</t>
  </si>
  <si>
    <t>Workshop on Computational Approaches to Subjectivity, Sentiment and Social Media Analysis</t>
  </si>
  <si>
    <t>WAVE</t>
  </si>
  <si>
    <t>Workshop on Advanced Virtual Environments and Education</t>
  </si>
  <si>
    <t>WBL</t>
  </si>
  <si>
    <t>Workshop Brasileiro de Lógica</t>
  </si>
  <si>
    <t>WBMA</t>
  </si>
  <si>
    <t>Workshop Brasileiro de Métodos Ágeis</t>
  </si>
  <si>
    <t>WCAMA</t>
  </si>
  <si>
    <t>Workshop de Computação Aplicada à Gestão do Meio Ambiente e Recursos Naturais</t>
  </si>
  <si>
    <t>WCAS</t>
  </si>
  <si>
    <t>Workshop on Circuits and Systems Design</t>
  </si>
  <si>
    <t>WCBIE</t>
  </si>
  <si>
    <t>Workshops do Congresso Brasileiro de Informática na Educação</t>
  </si>
  <si>
    <t>WCCE</t>
  </si>
  <si>
    <t>IFIP World Conference on Computers in Education</t>
  </si>
  <si>
    <t>WCCI</t>
  </si>
  <si>
    <t>IEEE World Congress on Computational Intelligence</t>
  </si>
  <si>
    <t>WCGE</t>
  </si>
  <si>
    <t>Workshop de Computação Aplicada ao Governo Eletrônico</t>
  </si>
  <si>
    <t>WCGO</t>
  </si>
  <si>
    <t>World Congress on Global Optimization</t>
  </si>
  <si>
    <t>WCISC</t>
  </si>
  <si>
    <t>Workshop on Computational Intelligence and Smart Cities</t>
  </si>
  <si>
    <t>WCN</t>
  </si>
  <si>
    <t>Workshop on Cloud Networks</t>
  </si>
  <si>
    <t>WCNC</t>
  </si>
  <si>
    <t>IEEE Wireless Communications and Networking Conference</t>
  </si>
  <si>
    <t>WCNCW</t>
  </si>
  <si>
    <t>IEEE Wireless Communications and Networking Conference Workshops</t>
  </si>
  <si>
    <t>WCNPS</t>
  </si>
  <si>
    <t>Workshop on Communication Networks and Power Systems</t>
  </si>
  <si>
    <t>WCX</t>
  </si>
  <si>
    <t>SAE World Congress Experience</t>
  </si>
  <si>
    <t>WD</t>
  </si>
  <si>
    <t>Wireless Days Conference</t>
  </si>
  <si>
    <t>WDES</t>
  </si>
  <si>
    <t>Workshop on Distributed Software Development, Software Ecosystems and Systems-of-Systems</t>
  </si>
  <si>
    <t>WEB3D</t>
  </si>
  <si>
    <t>International Conference on 3D Web Technology</t>
  </si>
  <si>
    <t>Web4All</t>
  </si>
  <si>
    <t>International Web for All Conference</t>
  </si>
  <si>
    <t>WEBDB</t>
  </si>
  <si>
    <t>International Workshop on the Web and Databases</t>
  </si>
  <si>
    <t>WEBIST</t>
  </si>
  <si>
    <t>International Conference on Web Information Systems and Technologies</t>
  </si>
  <si>
    <t>WEBMEDIA</t>
  </si>
  <si>
    <t>Brazilian Symposium on Multimedia and the Web</t>
  </si>
  <si>
    <t>WEBSCI</t>
  </si>
  <si>
    <t>ACM Web Science Conference</t>
  </si>
  <si>
    <t>WEI</t>
  </si>
  <si>
    <t>Workshop sobre Educação em Computação</t>
  </si>
  <si>
    <t>WER</t>
  </si>
  <si>
    <t>Workshop on Requirements Engineering</t>
  </si>
  <si>
    <t>WESB</t>
  </si>
  <si>
    <t>Workshop de Engenharia de Software Baseada em Busca</t>
  </si>
  <si>
    <t>WETICE</t>
  </si>
  <si>
    <t>IEEE International Conference on Enabling Technologies: Infrastructure for Collaborative Enterprises</t>
  </si>
  <si>
    <t>WF-IoT</t>
  </si>
  <si>
    <t>IEEE World Forum on Internet of Things</t>
  </si>
  <si>
    <t>WFCS</t>
  </si>
  <si>
    <t>IEEE World Conference on Factory Communication Systems</t>
  </si>
  <si>
    <t>WG</t>
  </si>
  <si>
    <t>International Workshop on Graph-Theoretic Concepts in Computer Science</t>
  </si>
  <si>
    <t>WGRS</t>
  </si>
  <si>
    <t>Workshop de Gerência e Operação de Redes e Serviços</t>
  </si>
  <si>
    <t>WHISPERS</t>
  </si>
  <si>
    <t>Workshop on Hyperspectral Image and Signal Processing: Evolution in Remote Sensing</t>
  </si>
  <si>
    <t>WI-IAT</t>
  </si>
  <si>
    <t>IEEE/WIC/ACM International Conference on Web Intelligence and Intelligent Agent Technology</t>
  </si>
  <si>
    <t>WIE</t>
  </si>
  <si>
    <t>Workshop de Informática na Escola</t>
  </si>
  <si>
    <t>WIFS</t>
  </si>
  <si>
    <t>IEEE Workshop on Information Forensics and Security</t>
  </si>
  <si>
    <t>WIM</t>
  </si>
  <si>
    <t>Workshop de Informática Médica</t>
  </si>
  <si>
    <t>WIMOB</t>
  </si>
  <si>
    <t>IEEE International Conference on Wireless and Mobile Computing, Networking and Communications</t>
  </si>
  <si>
    <t>WiOpt</t>
  </si>
  <si>
    <t>International Symposium on Modeling and Optimization in Mobile, Ad Hoc, and Wireless Networks</t>
  </si>
  <si>
    <t>WiPSCE</t>
  </si>
  <si>
    <t>Workshop in Primary and Secondary Computing Education</t>
  </si>
  <si>
    <t>WISDOM</t>
  </si>
  <si>
    <t>Workshop on Issues of Sentiment Discovery and Opinion Mining</t>
  </si>
  <si>
    <t>WISE</t>
  </si>
  <si>
    <t>International Conference on Web Information Systems Engineering</t>
  </si>
  <si>
    <t>WiSec</t>
  </si>
  <si>
    <t>ACM Conference on Security &amp; Privacy in Wireless and Mobile Networks</t>
  </si>
  <si>
    <t>WISTP</t>
  </si>
  <si>
    <t>International Conference on Information Security Theory and Practice</t>
  </si>
  <si>
    <t>WIT</t>
  </si>
  <si>
    <t>Women in Information Technology</t>
  </si>
  <si>
    <t>WOCN</t>
  </si>
  <si>
    <t>International Conference on Wireless and Optical Communications Networks</t>
  </si>
  <si>
    <t>WOLLIC</t>
  </si>
  <si>
    <t>International Workshop on Logic, Language, Information and Computation</t>
  </si>
  <si>
    <t>WOMoCoE</t>
  </si>
  <si>
    <t>International Workshop on Ontology Modularity, Contextuality, and Evolution</t>
  </si>
  <si>
    <t>WONS</t>
  </si>
  <si>
    <t>Wireless On-demand Network systems and Services Conference</t>
  </si>
  <si>
    <t>WORKS</t>
  </si>
  <si>
    <t>Workshop on Workflows in Support of Large-Scale Science</t>
  </si>
  <si>
    <t>WOSP</t>
  </si>
  <si>
    <t>International Workshop on Mining Scientific Publications</t>
  </si>
  <si>
    <t>WOWMOM</t>
  </si>
  <si>
    <t>International Symposium on a World of Wireless, Mobile and Multimedia Networks</t>
  </si>
  <si>
    <t>WPEIF</t>
  </si>
  <si>
    <t>Workshop de Pesquisa Experimental da Internet do Futuro</t>
  </si>
  <si>
    <t>WPerformance</t>
  </si>
  <si>
    <t>Workshop em Desempenho de Sistemas Computacionais e de Comunicação</t>
  </si>
  <si>
    <t>WPES</t>
  </si>
  <si>
    <t>Annual ACM workshop on Privacy in the electronic society</t>
  </si>
  <si>
    <t>WRLA</t>
  </si>
  <si>
    <t>International Workshop on Rewriting Logic and its Applications</t>
  </si>
  <si>
    <t>WSC</t>
  </si>
  <si>
    <t>Winter Simulation Conference</t>
  </si>
  <si>
    <t>WSCAD</t>
  </si>
  <si>
    <t>Simpósio em Sistemas Computacionais de Alto Desempenho</t>
  </si>
  <si>
    <t>WSCDC</t>
  </si>
  <si>
    <t>Workshop de Segurança Cibernética em Dispositivos Conectados</t>
  </si>
  <si>
    <t>WSCG</t>
  </si>
  <si>
    <t>International Conference in Central Europe on Computer Graphics and Visualization and Computer Vision</t>
  </si>
  <si>
    <t>WSDM</t>
  </si>
  <si>
    <t>ACM Conference International Conference on Web Search and Data Mining</t>
  </si>
  <si>
    <t>WSL</t>
  </si>
  <si>
    <t>Workshop de Software Livre</t>
  </si>
  <si>
    <t>WSOM</t>
  </si>
  <si>
    <t>International Workshop on Self-Organizing Maps and Learning Vector Quantization, Clustering and Data Visualization</t>
  </si>
  <si>
    <t>WTF</t>
  </si>
  <si>
    <t>Workshop de Testes e Tolerância a Falhas</t>
  </si>
  <si>
    <t>WTranS</t>
  </si>
  <si>
    <t>Workshop de Transparência de Sistema</t>
  </si>
  <si>
    <t>WVC</t>
  </si>
  <si>
    <t>Workshop de Visão Computacional</t>
  </si>
  <si>
    <t>WWW</t>
  </si>
  <si>
    <t>International World Wide Web Conferences</t>
  </si>
  <si>
    <t>XP</t>
  </si>
  <si>
    <t>International Conference on Agile Software Development</t>
  </si>
</sst>
</file>

<file path=xl/styles.xml><?xml version="1.0" encoding="utf-8"?>
<styleSheet xmlns="http://schemas.openxmlformats.org/spreadsheetml/2006/main" xmlns:x14ac="http://schemas.microsoft.com/office/spreadsheetml/2009/9/ac" xmlns:mc="http://schemas.openxmlformats.org/markup-compatibility/2006">
  <fonts count="66">
    <font>
      <sz val="10.0"/>
      <color rgb="FF000000"/>
      <name val="Arial"/>
    </font>
    <font>
      <b/>
    </font>
    <font>
      <b/>
      <sz val="12.0"/>
    </font>
    <font>
      <sz val="14.0"/>
      <color rgb="FF000000"/>
      <name val="Calibri"/>
    </font>
    <font>
      <u/>
      <color rgb="FF000000"/>
      <name val="Roboto"/>
    </font>
    <font>
      <b/>
      <sz val="11.0"/>
      <name val="Calibri"/>
    </font>
    <font>
      <sz val="11.0"/>
      <name val="Calibri"/>
    </font>
    <font>
      <u/>
      <sz val="11.0"/>
      <color rgb="FF1155CC"/>
      <name val="Calibri"/>
    </font>
    <font>
      <name val="Arial"/>
    </font>
    <font>
      <u/>
      <sz val="11.0"/>
      <color rgb="FF1155CC"/>
      <name val="Calibri"/>
    </font>
    <font>
      <u/>
      <sz val="11.0"/>
      <color rgb="FF1155CC"/>
      <name val="Calibri"/>
    </font>
    <font>
      <u/>
      <sz val="14.0"/>
      <color rgb="FF0563C1"/>
      <name val="Calibri"/>
    </font>
    <font>
      <u/>
      <sz val="11.0"/>
      <color rgb="FF1155CC"/>
      <name val="Calibri"/>
    </font>
    <font>
      <sz val="14.0"/>
    </font>
    <font>
      <b/>
      <sz val="14.0"/>
      <color rgb="FFFF0000"/>
      <name val="Calibri"/>
    </font>
    <font>
      <sz val="11.0"/>
      <name val="Arial"/>
    </font>
    <font/>
    <font>
      <sz val="9.0"/>
      <color rgb="FF000000"/>
      <name val="Arial"/>
    </font>
    <font>
      <sz val="9.0"/>
      <color rgb="FF000000"/>
      <name val="Calibri"/>
    </font>
    <font>
      <sz val="9.0"/>
      <color rgb="FF000000"/>
      <name val="Roboto"/>
    </font>
    <font>
      <sz val="9.0"/>
      <color rgb="FF434343"/>
      <name val="Arial"/>
    </font>
    <font>
      <sz val="9.0"/>
      <color rgb="FF222222"/>
      <name val="Arial"/>
    </font>
    <font>
      <sz val="9.0"/>
      <color rgb="FF263238"/>
      <name val="Roboto"/>
    </font>
    <font>
      <sz val="9.0"/>
      <color rgb="FF333333"/>
      <name val="&quot;Source Sans Pro&quot;"/>
    </font>
    <font>
      <u/>
      <sz val="9.0"/>
      <color rgb="FF000000"/>
      <name val="Arial"/>
    </font>
    <font>
      <sz val="9.0"/>
      <color rgb="FF333333"/>
      <name val="Arial"/>
    </font>
    <font>
      <sz val="9.0"/>
      <color rgb="FF333333"/>
      <name val="Hind"/>
    </font>
    <font>
      <sz val="9.0"/>
      <color rgb="FF0F0F16"/>
      <name val="Arial"/>
    </font>
    <font>
      <sz val="9.0"/>
      <color rgb="FF292B2C"/>
      <name val="Arial"/>
    </font>
    <font>
      <sz val="9.0"/>
      <color rgb="FF333333"/>
      <name val="&quot;Helvetica Neue&quot;"/>
    </font>
    <font>
      <u/>
      <color rgb="FF1155CC"/>
      <name val="Arial"/>
    </font>
    <font>
      <u/>
      <color rgb="FF0000FF"/>
    </font>
    <font>
      <color rgb="FF222222"/>
      <name val="Arial"/>
    </font>
    <font>
      <color rgb="FF000000"/>
      <name val="Arial"/>
    </font>
    <font>
      <b/>
      <color rgb="FF434343"/>
    </font>
    <font>
      <b/>
      <u/>
      <color rgb="FF0000FF"/>
    </font>
    <font>
      <color rgb="FF434343"/>
      <name val="Arial"/>
    </font>
    <font>
      <color rgb="FF434343"/>
    </font>
    <font>
      <sz val="11.0"/>
      <color rgb="FF000000"/>
      <name val="Calibri"/>
    </font>
    <font>
      <sz val="11.0"/>
      <color rgb="FF000000"/>
      <name val="Arial"/>
    </font>
    <font>
      <sz val="12.0"/>
      <color rgb="FF222222"/>
      <name val="&quot;Arial&quot;"/>
    </font>
    <font>
      <b/>
      <name val="Arial"/>
    </font>
    <font>
      <color rgb="FF000000"/>
      <name val="Roboto"/>
    </font>
    <font>
      <u/>
      <sz val="11.0"/>
      <color rgb="FF1155CC"/>
      <name val="Arial"/>
    </font>
    <font>
      <u/>
      <sz val="11.0"/>
      <color rgb="FF1155CC"/>
      <name val="Arial"/>
    </font>
    <font>
      <u/>
      <sz val="11.0"/>
      <color rgb="FF1155CC"/>
      <name val="Arial"/>
    </font>
    <font>
      <u/>
      <sz val="11.0"/>
      <color rgb="FF0000FF"/>
    </font>
    <font>
      <sz val="11.0"/>
    </font>
    <font>
      <sz val="11.0"/>
      <color rgb="FF292B2C"/>
      <name val="Arial"/>
    </font>
    <font>
      <sz val="11.0"/>
      <color rgb="FF000000"/>
      <name val="Docs-Calibri"/>
    </font>
    <font>
      <u/>
      <sz val="11.0"/>
      <color rgb="FF000000"/>
      <name val="Calibri"/>
    </font>
    <font>
      <color rgb="FF000000"/>
      <name val="Calibri"/>
    </font>
    <font>
      <u/>
      <sz val="11.0"/>
      <color rgb="FF1155CC"/>
      <name val="Arial"/>
    </font>
    <font>
      <color rgb="FF212529"/>
      <name val="Arial"/>
    </font>
    <font>
      <color rgb="FF0F0F16"/>
      <name val="&quot;Open Sans&quot;"/>
    </font>
    <font>
      <u/>
      <sz val="11.0"/>
      <color rgb="FF0000FF"/>
      <name val="Calibri"/>
    </font>
    <font>
      <u/>
      <sz val="11.0"/>
      <color rgb="FF0000FF"/>
      <name val="Calibri"/>
    </font>
    <font>
      <u/>
      <sz val="11.0"/>
      <color rgb="FF1155CC"/>
      <name val="Calibri"/>
    </font>
    <font>
      <sz val="11.0"/>
      <name val="Cambria"/>
    </font>
    <font>
      <sz val="11.0"/>
      <color rgb="FF222222"/>
      <name val="Arial"/>
    </font>
    <font>
      <u/>
      <color rgb="FF0000FF"/>
      <name val="Arial"/>
    </font>
    <font>
      <u/>
      <sz val="11.0"/>
      <color rgb="FF0000FF"/>
      <name val="Arial"/>
    </font>
    <font>
      <sz val="11.0"/>
      <color rgb="FF000000"/>
      <name val="Roboto"/>
    </font>
    <font>
      <u/>
      <color rgb="FF000000"/>
      <name val="Arial"/>
    </font>
    <font>
      <color rgb="FF000000"/>
    </font>
    <font>
      <sz val="9.0"/>
      <color rgb="FF000000"/>
      <name val="&quot;Google Sans Mono&quot;"/>
    </font>
  </fonts>
  <fills count="16">
    <fill>
      <patternFill patternType="none"/>
    </fill>
    <fill>
      <patternFill patternType="lightGray"/>
    </fill>
    <fill>
      <patternFill patternType="solid">
        <fgColor rgb="FFFFFFFF"/>
        <bgColor rgb="FFFFFFFF"/>
      </patternFill>
    </fill>
    <fill>
      <patternFill patternType="solid">
        <fgColor rgb="FFF3F3F3"/>
        <bgColor rgb="FFF3F3F3"/>
      </patternFill>
    </fill>
    <fill>
      <patternFill patternType="solid">
        <fgColor rgb="FF00FF00"/>
        <bgColor rgb="FF00FF00"/>
      </patternFill>
    </fill>
    <fill>
      <patternFill patternType="solid">
        <fgColor rgb="FFFF0000"/>
        <bgColor rgb="FFFF0000"/>
      </patternFill>
    </fill>
    <fill>
      <patternFill patternType="solid">
        <fgColor rgb="FF0563C1"/>
        <bgColor rgb="FF0563C1"/>
      </patternFill>
    </fill>
    <fill>
      <patternFill patternType="solid">
        <fgColor rgb="FFB6D7A8"/>
        <bgColor rgb="FFB6D7A8"/>
      </patternFill>
    </fill>
    <fill>
      <patternFill patternType="solid">
        <fgColor rgb="FF6AA84F"/>
        <bgColor rgb="FF6AA84F"/>
      </patternFill>
    </fill>
    <fill>
      <patternFill patternType="solid">
        <fgColor rgb="FFFFFF00"/>
        <bgColor rgb="FFFFFF00"/>
      </patternFill>
    </fill>
    <fill>
      <patternFill patternType="solid">
        <fgColor rgb="FFEAD1DC"/>
        <bgColor rgb="FFEAD1DC"/>
      </patternFill>
    </fill>
    <fill>
      <patternFill patternType="solid">
        <fgColor rgb="FF00FFFF"/>
        <bgColor rgb="FF00FFFF"/>
      </patternFill>
    </fill>
    <fill>
      <patternFill patternType="solid">
        <fgColor rgb="FFEA9999"/>
        <bgColor rgb="FFEA9999"/>
      </patternFill>
    </fill>
    <fill>
      <patternFill patternType="solid">
        <fgColor rgb="FFFF9900"/>
        <bgColor rgb="FFFF9900"/>
      </patternFill>
    </fill>
    <fill>
      <patternFill patternType="solid">
        <fgColor rgb="FFF5F5F5"/>
        <bgColor rgb="FFF5F5F5"/>
      </patternFill>
    </fill>
    <fill>
      <patternFill patternType="solid">
        <fgColor rgb="FFD9EAD3"/>
        <bgColor rgb="FFD9EAD3"/>
      </patternFill>
    </fill>
  </fills>
  <borders count="12">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right/>
    </border>
    <border>
      <top style="thin">
        <color rgb="FF000000"/>
      </top>
    </border>
    <border>
      <right style="thin">
        <color rgb="FF000000"/>
      </right>
      <top style="thin">
        <color rgb="FF000000"/>
      </top>
    </border>
    <border>
      <right style="thin">
        <color rgb="FF000000"/>
      </right>
    </border>
    <border>
      <left style="thin">
        <color rgb="FFCCCCCC"/>
      </left>
      <right style="thin">
        <color rgb="FFCCCCCC"/>
      </right>
      <top style="thin">
        <color rgb="FF000000"/>
      </top>
      <bottom style="thin">
        <color rgb="FFCCCCCC"/>
      </bottom>
    </border>
    <border>
      <left style="thin">
        <color rgb="FF000000"/>
      </left>
      <right style="thin">
        <color rgb="FFCCCCCC"/>
      </right>
      <bottom style="thin">
        <color rgb="FF000000"/>
      </bottom>
    </border>
    <border>
      <right style="thin">
        <color rgb="FFCCCCCC"/>
      </right>
      <bottom style="thin">
        <color rgb="FF000000"/>
      </bottom>
    </border>
  </borders>
  <cellStyleXfs count="1">
    <xf borderId="0" fillId="0" fontId="0" numFmtId="0" applyAlignment="1" applyFont="1"/>
  </cellStyleXfs>
  <cellXfs count="231">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Font="1"/>
    <xf borderId="0" fillId="0" fontId="2" numFmtId="0" xfId="0" applyAlignment="1" applyFont="1">
      <alignment readingOrder="0"/>
    </xf>
    <xf borderId="0" fillId="0" fontId="3" numFmtId="0" xfId="0" applyAlignment="1" applyFont="1">
      <alignment readingOrder="0" shrinkToFit="0" vertical="bottom" wrapText="0"/>
    </xf>
    <xf borderId="0" fillId="0" fontId="3" numFmtId="0" xfId="0" applyAlignment="1" applyFont="1">
      <alignment shrinkToFit="0" vertical="bottom" wrapText="0"/>
    </xf>
    <xf borderId="0" fillId="2" fontId="4" numFmtId="0" xfId="0" applyAlignment="1" applyFill="1" applyFont="1">
      <alignment readingOrder="0"/>
    </xf>
    <xf borderId="0" fillId="3" fontId="5" numFmtId="0" xfId="0" applyAlignment="1" applyFill="1" applyFont="1">
      <alignment horizontal="center" vertical="bottom"/>
    </xf>
    <xf borderId="0" fillId="0" fontId="5" numFmtId="0" xfId="0" applyAlignment="1" applyFont="1">
      <alignment horizontal="center" shrinkToFit="0" vertical="bottom" wrapText="0"/>
    </xf>
    <xf borderId="0" fillId="0" fontId="5" numFmtId="0" xfId="0" applyAlignment="1" applyFont="1">
      <alignment horizontal="center" vertical="bottom"/>
    </xf>
    <xf borderId="0" fillId="3" fontId="5" numFmtId="0" xfId="0" applyAlignment="1" applyFont="1">
      <alignment horizontal="center" shrinkToFit="0" vertical="bottom" wrapText="0"/>
    </xf>
    <xf borderId="0" fillId="3" fontId="5" numFmtId="0" xfId="0" applyAlignment="1" applyFont="1">
      <alignment horizontal="center" vertical="bottom"/>
    </xf>
    <xf borderId="0" fillId="3" fontId="6" numFmtId="0" xfId="0" applyAlignment="1" applyFont="1">
      <alignment horizontal="center" shrinkToFit="0" vertical="bottom" wrapText="0"/>
    </xf>
    <xf borderId="0" fillId="0" fontId="6" numFmtId="0" xfId="0" applyAlignment="1" applyFont="1">
      <alignment horizontal="center" shrinkToFit="0" vertical="bottom" wrapText="0"/>
    </xf>
    <xf borderId="0" fillId="0" fontId="6" numFmtId="0" xfId="0" applyAlignment="1" applyFont="1">
      <alignment shrinkToFit="0" vertical="bottom" wrapText="0"/>
    </xf>
    <xf borderId="0" fillId="0" fontId="6" numFmtId="0" xfId="0" applyAlignment="1" applyFont="1">
      <alignment horizontal="right" shrinkToFit="0" vertical="bottom" wrapText="0"/>
    </xf>
    <xf borderId="0" fillId="0" fontId="7" numFmtId="0" xfId="0" applyAlignment="1" applyFont="1">
      <alignment shrinkToFit="0" vertical="bottom" wrapText="0"/>
    </xf>
    <xf borderId="0" fillId="3" fontId="8" numFmtId="0" xfId="0" applyAlignment="1" applyFont="1">
      <alignment vertical="bottom"/>
    </xf>
    <xf borderId="0" fillId="3" fontId="6" numFmtId="0" xfId="0" applyAlignment="1" applyFont="1">
      <alignment shrinkToFit="0" vertical="bottom" wrapText="0"/>
    </xf>
    <xf borderId="0" fillId="3" fontId="9" numFmtId="0" xfId="0" applyAlignment="1" applyFont="1">
      <alignment shrinkToFit="0" vertical="bottom" wrapText="0"/>
    </xf>
    <xf borderId="0" fillId="3" fontId="10" numFmtId="0" xfId="0" applyAlignment="1" applyFont="1">
      <alignment shrinkToFit="0" vertical="bottom" wrapText="0"/>
    </xf>
    <xf borderId="0" fillId="0" fontId="8" numFmtId="0" xfId="0" applyAlignment="1" applyFont="1">
      <alignment vertical="bottom"/>
    </xf>
    <xf borderId="0" fillId="0" fontId="11" numFmtId="0" xfId="0" applyAlignment="1" applyFont="1">
      <alignment readingOrder="0" shrinkToFit="0" vertical="bottom" wrapText="0"/>
    </xf>
    <xf borderId="0" fillId="3" fontId="6" numFmtId="0" xfId="0" applyAlignment="1" applyFont="1">
      <alignment horizontal="center" shrinkToFit="0" vertical="bottom" wrapText="0"/>
    </xf>
    <xf borderId="0" fillId="3" fontId="8" numFmtId="0" xfId="0" applyAlignment="1" applyFont="1">
      <alignment vertical="bottom"/>
    </xf>
    <xf borderId="0" fillId="0" fontId="6" numFmtId="0" xfId="0" applyAlignment="1" applyFont="1">
      <alignment horizontal="center" shrinkToFit="0" vertical="bottom" wrapText="0"/>
    </xf>
    <xf borderId="0" fillId="0" fontId="6" numFmtId="0" xfId="0" applyAlignment="1" applyFont="1">
      <alignment shrinkToFit="0" vertical="bottom" wrapText="0"/>
    </xf>
    <xf borderId="0" fillId="0" fontId="6" numFmtId="0" xfId="0" applyAlignment="1" applyFont="1">
      <alignment horizontal="right" shrinkToFit="0" vertical="bottom" wrapText="0"/>
    </xf>
    <xf borderId="0" fillId="0" fontId="12" numFmtId="0" xfId="0" applyAlignment="1" applyFont="1">
      <alignment shrinkToFit="0" vertical="bottom" wrapText="0"/>
    </xf>
    <xf borderId="0" fillId="3" fontId="6" numFmtId="0" xfId="0" applyAlignment="1" applyFont="1">
      <alignment shrinkToFit="0" vertical="bottom" wrapText="0"/>
    </xf>
    <xf borderId="0" fillId="0" fontId="8" numFmtId="0" xfId="0" applyAlignment="1" applyFont="1">
      <alignment vertical="bottom"/>
    </xf>
    <xf borderId="0" fillId="0" fontId="13" numFmtId="0" xfId="0" applyAlignment="1" applyFont="1">
      <alignment readingOrder="0"/>
    </xf>
    <xf borderId="0" fillId="0" fontId="14" numFmtId="0" xfId="0" applyAlignment="1" applyFont="1">
      <alignment readingOrder="0" shrinkToFit="0" vertical="bottom" wrapText="0"/>
    </xf>
    <xf borderId="0" fillId="0" fontId="14" numFmtId="0" xfId="0" applyAlignment="1" applyFont="1">
      <alignment shrinkToFit="0" vertical="bottom" wrapText="0"/>
    </xf>
    <xf borderId="0" fillId="0" fontId="15" numFmtId="0" xfId="0" applyAlignment="1" applyFont="1">
      <alignment readingOrder="0" shrinkToFit="0" vertical="top" wrapText="1"/>
    </xf>
    <xf borderId="0" fillId="0" fontId="16" numFmtId="0" xfId="0" applyAlignment="1" applyFont="1">
      <alignment readingOrder="0"/>
    </xf>
    <xf borderId="1" fillId="0" fontId="17" numFmtId="0" xfId="0" applyAlignment="1" applyBorder="1" applyFont="1">
      <alignment readingOrder="0" shrinkToFit="0" vertical="bottom" wrapText="0"/>
    </xf>
    <xf borderId="2" fillId="0" fontId="17" numFmtId="0" xfId="0" applyAlignment="1" applyBorder="1" applyFont="1">
      <alignment readingOrder="0" shrinkToFit="0" vertical="bottom" wrapText="0"/>
    </xf>
    <xf borderId="3" fillId="0" fontId="17" numFmtId="0" xfId="0" applyAlignment="1" applyBorder="1" applyFont="1">
      <alignment readingOrder="0" shrinkToFit="0" vertical="bottom" wrapText="0"/>
    </xf>
    <xf borderId="4" fillId="0" fontId="17" numFmtId="0" xfId="0" applyAlignment="1" applyBorder="1" applyFont="1">
      <alignment readingOrder="0" shrinkToFit="0" vertical="bottom" wrapText="0"/>
    </xf>
    <xf borderId="3" fillId="0" fontId="18" numFmtId="0" xfId="0" applyAlignment="1" applyBorder="1" applyFont="1">
      <alignment readingOrder="0" shrinkToFit="0" vertical="bottom" wrapText="0"/>
    </xf>
    <xf borderId="4" fillId="0" fontId="18" numFmtId="0" xfId="0" applyAlignment="1" applyBorder="1" applyFont="1">
      <alignment readingOrder="0" shrinkToFit="0" vertical="bottom" wrapText="0"/>
    </xf>
    <xf borderId="4" fillId="0" fontId="19" numFmtId="0" xfId="0" applyAlignment="1" applyBorder="1" applyFont="1">
      <alignment readingOrder="0" shrinkToFit="0" vertical="bottom" wrapText="0"/>
    </xf>
    <xf borderId="4" fillId="0" fontId="20" numFmtId="0" xfId="0" applyAlignment="1" applyBorder="1" applyFont="1">
      <alignment readingOrder="0" shrinkToFit="0" vertical="bottom" wrapText="0"/>
    </xf>
    <xf borderId="4" fillId="0" fontId="21" numFmtId="0" xfId="0" applyAlignment="1" applyBorder="1" applyFont="1">
      <alignment readingOrder="0" shrinkToFit="0" vertical="bottom" wrapText="0"/>
    </xf>
    <xf borderId="3" fillId="0" fontId="19" numFmtId="0" xfId="0" applyAlignment="1" applyBorder="1" applyFont="1">
      <alignment readingOrder="0" shrinkToFit="0" vertical="bottom" wrapText="0"/>
    </xf>
    <xf borderId="4" fillId="0" fontId="22" numFmtId="0" xfId="0" applyAlignment="1" applyBorder="1" applyFont="1">
      <alignment readingOrder="0" shrinkToFit="0" vertical="bottom" wrapText="0"/>
    </xf>
    <xf borderId="3" fillId="0" fontId="23" numFmtId="0" xfId="0" applyAlignment="1" applyBorder="1" applyFont="1">
      <alignment readingOrder="0" shrinkToFit="0" vertical="bottom" wrapText="0"/>
    </xf>
    <xf borderId="3" fillId="0" fontId="24" numFmtId="0" xfId="0" applyAlignment="1" applyBorder="1" applyFont="1">
      <alignment readingOrder="0" shrinkToFit="0" vertical="bottom" wrapText="0"/>
    </xf>
    <xf borderId="4" fillId="0" fontId="25" numFmtId="0" xfId="0" applyAlignment="1" applyBorder="1" applyFont="1">
      <alignment readingOrder="0" shrinkToFit="0" vertical="bottom" wrapText="0"/>
    </xf>
    <xf borderId="3" fillId="0" fontId="26" numFmtId="0" xfId="0" applyAlignment="1" applyBorder="1" applyFont="1">
      <alignment readingOrder="0" shrinkToFit="0" vertical="bottom" wrapText="0"/>
    </xf>
    <xf borderId="4" fillId="0" fontId="27" numFmtId="0" xfId="0" applyAlignment="1" applyBorder="1" applyFont="1">
      <alignment readingOrder="0" shrinkToFit="0" vertical="bottom" wrapText="0"/>
    </xf>
    <xf borderId="4" fillId="0" fontId="28" numFmtId="0" xfId="0" applyAlignment="1" applyBorder="1" applyFont="1">
      <alignment readingOrder="0" shrinkToFit="0" vertical="bottom" wrapText="0"/>
    </xf>
    <xf borderId="3" fillId="0" fontId="29" numFmtId="0" xfId="0" applyAlignment="1" applyBorder="1" applyFont="1">
      <alignment readingOrder="0" shrinkToFit="0" vertical="bottom" wrapText="0"/>
    </xf>
    <xf borderId="0" fillId="0" fontId="8" numFmtId="0" xfId="0" applyAlignment="1" applyFont="1">
      <alignment horizontal="center"/>
    </xf>
    <xf borderId="0" fillId="0" fontId="8" numFmtId="0" xfId="0" applyAlignment="1" applyFont="1">
      <alignment shrinkToFit="0" wrapText="1"/>
    </xf>
    <xf borderId="0" fillId="0" fontId="8" numFmtId="0" xfId="0" applyAlignment="1" applyFont="1">
      <alignment shrinkToFit="0" wrapText="0"/>
    </xf>
    <xf borderId="0" fillId="0" fontId="8" numFmtId="0" xfId="0" applyAlignment="1" applyFont="1">
      <alignment vertical="bottom"/>
    </xf>
    <xf borderId="0" fillId="4" fontId="16" numFmtId="0" xfId="0" applyAlignment="1" applyFill="1" applyFont="1">
      <alignment readingOrder="0"/>
    </xf>
    <xf borderId="0" fillId="0" fontId="30" numFmtId="0" xfId="0" applyAlignment="1" applyFont="1">
      <alignment shrinkToFit="0" vertical="bottom" wrapText="0"/>
    </xf>
    <xf borderId="0" fillId="0" fontId="31" numFmtId="0" xfId="0" applyFont="1"/>
    <xf borderId="0" fillId="5" fontId="8" numFmtId="0" xfId="0" applyAlignment="1" applyFill="1" applyFont="1">
      <alignment shrinkToFit="0" wrapText="0"/>
    </xf>
    <xf borderId="0" fillId="2" fontId="32" numFmtId="0" xfId="0" applyAlignment="1" applyFont="1">
      <alignment shrinkToFit="0" wrapText="1"/>
    </xf>
    <xf borderId="0" fillId="2" fontId="32" numFmtId="0" xfId="0" applyAlignment="1" applyFont="1">
      <alignment vertical="bottom"/>
    </xf>
    <xf borderId="0" fillId="6" fontId="8" numFmtId="0" xfId="0" applyAlignment="1" applyFill="1" applyFont="1">
      <alignment shrinkToFit="0" wrapText="0"/>
    </xf>
    <xf borderId="0" fillId="7" fontId="16" numFmtId="0" xfId="0" applyAlignment="1" applyFill="1" applyFont="1">
      <alignment readingOrder="0"/>
    </xf>
    <xf borderId="0" fillId="0" fontId="8" numFmtId="0" xfId="0" applyAlignment="1" applyFont="1">
      <alignment shrinkToFit="0" wrapText="0"/>
    </xf>
    <xf borderId="0" fillId="0" fontId="8" numFmtId="0" xfId="0" applyAlignment="1" applyFont="1">
      <alignment horizontal="center" vertical="bottom"/>
    </xf>
    <xf borderId="0" fillId="8" fontId="16" numFmtId="0" xfId="0" applyAlignment="1" applyFill="1" applyFont="1">
      <alignment readingOrder="0"/>
    </xf>
    <xf borderId="0" fillId="0" fontId="8" numFmtId="0" xfId="0" applyAlignment="1" applyFont="1">
      <alignment shrinkToFit="0" vertical="bottom" wrapText="0"/>
    </xf>
    <xf borderId="0" fillId="2" fontId="32" numFmtId="0" xfId="0" applyAlignment="1" applyFont="1">
      <alignment horizontal="center" vertical="bottom"/>
    </xf>
    <xf borderId="0" fillId="0" fontId="8" numFmtId="0" xfId="0" applyFont="1"/>
    <xf borderId="0" fillId="9" fontId="8" numFmtId="0" xfId="0" applyAlignment="1" applyFill="1" applyFont="1">
      <alignment shrinkToFit="0" wrapText="0"/>
    </xf>
    <xf borderId="0" fillId="0" fontId="16" numFmtId="0" xfId="0" applyAlignment="1" applyFont="1">
      <alignment shrinkToFit="0" wrapText="0"/>
    </xf>
    <xf borderId="0" fillId="0" fontId="33" numFmtId="0" xfId="0" applyAlignment="1" applyFont="1">
      <alignment horizontal="left" readingOrder="0" shrinkToFit="0" vertical="bottom" wrapText="0"/>
    </xf>
    <xf borderId="0" fillId="0" fontId="33" numFmtId="0" xfId="0" applyAlignment="1" applyFont="1">
      <alignment horizontal="right" readingOrder="0" shrinkToFit="0" vertical="bottom" wrapText="0"/>
    </xf>
    <xf borderId="0" fillId="0" fontId="33" numFmtId="0" xfId="0" applyAlignment="1" applyFont="1">
      <alignment shrinkToFit="0" vertical="bottom" wrapText="0"/>
    </xf>
    <xf borderId="0" fillId="0" fontId="33" numFmtId="0" xfId="0" applyAlignment="1" applyFont="1">
      <alignment horizontal="left" readingOrder="0" vertical="bottom"/>
    </xf>
    <xf borderId="0" fillId="0" fontId="34" numFmtId="0" xfId="0" applyAlignment="1" applyFont="1">
      <alignment readingOrder="0"/>
    </xf>
    <xf borderId="0" fillId="0" fontId="35" numFmtId="0" xfId="0" applyFont="1"/>
    <xf borderId="0" fillId="4" fontId="8" numFmtId="0" xfId="0" applyAlignment="1" applyFont="1">
      <alignment vertical="bottom"/>
    </xf>
    <xf borderId="0" fillId="0" fontId="36" numFmtId="0" xfId="0" applyAlignment="1" applyFont="1">
      <alignment vertical="bottom"/>
    </xf>
    <xf borderId="0" fillId="0" fontId="36" numFmtId="0" xfId="0" applyAlignment="1" applyFont="1">
      <alignment shrinkToFit="0" vertical="bottom" wrapText="1"/>
    </xf>
    <xf borderId="0" fillId="0" fontId="36" numFmtId="0" xfId="0" applyAlignment="1" applyFont="1">
      <alignment horizontal="center" vertical="bottom"/>
    </xf>
    <xf borderId="0" fillId="2" fontId="36" numFmtId="0" xfId="0" applyAlignment="1" applyFont="1">
      <alignment vertical="bottom"/>
    </xf>
    <xf borderId="0" fillId="0" fontId="36" numFmtId="0" xfId="0" applyAlignment="1" applyFont="1">
      <alignment vertical="center"/>
    </xf>
    <xf borderId="0" fillId="0" fontId="36" numFmtId="0" xfId="0" applyAlignment="1" applyFont="1">
      <alignment horizontal="center" vertical="center"/>
    </xf>
    <xf borderId="0" fillId="7" fontId="8" numFmtId="0" xfId="0" applyAlignment="1" applyFont="1">
      <alignment vertical="bottom"/>
    </xf>
    <xf borderId="0" fillId="2" fontId="36" numFmtId="0" xfId="0" applyAlignment="1" applyFont="1">
      <alignment shrinkToFit="0" vertical="bottom" wrapText="1"/>
    </xf>
    <xf borderId="0" fillId="10" fontId="8" numFmtId="0" xfId="0" applyAlignment="1" applyFill="1" applyFont="1">
      <alignment vertical="bottom"/>
    </xf>
    <xf borderId="0" fillId="10" fontId="8" numFmtId="0" xfId="0" applyFont="1"/>
    <xf borderId="0" fillId="11" fontId="8" numFmtId="0" xfId="0" applyFill="1" applyFont="1"/>
    <xf borderId="0" fillId="11" fontId="8" numFmtId="0" xfId="0" applyAlignment="1" applyFont="1">
      <alignment vertical="center"/>
    </xf>
    <xf borderId="0" fillId="8" fontId="8" numFmtId="0" xfId="0" applyAlignment="1" applyFont="1">
      <alignment vertical="bottom"/>
    </xf>
    <xf borderId="0" fillId="8" fontId="8" numFmtId="0" xfId="0" applyAlignment="1" applyFont="1">
      <alignment vertical="center"/>
    </xf>
    <xf borderId="0" fillId="8" fontId="8" numFmtId="0" xfId="0" applyFont="1"/>
    <xf borderId="5" fillId="0" fontId="36" numFmtId="0" xfId="0" applyAlignment="1" applyBorder="1" applyFont="1">
      <alignment shrinkToFit="0" vertical="bottom" wrapText="0"/>
    </xf>
    <xf borderId="0" fillId="0" fontId="37" numFmtId="0" xfId="0" applyFont="1"/>
    <xf borderId="0" fillId="0" fontId="38" numFmtId="0" xfId="0" applyAlignment="1" applyFont="1">
      <alignment vertical="bottom"/>
    </xf>
    <xf borderId="0" fillId="0" fontId="38" numFmtId="0" xfId="0" applyAlignment="1" applyFont="1">
      <alignment horizontal="right" vertical="bottom"/>
    </xf>
    <xf borderId="0" fillId="2" fontId="38" numFmtId="0" xfId="0" applyAlignment="1" applyFont="1">
      <alignment vertical="bottom"/>
    </xf>
    <xf borderId="0" fillId="2" fontId="38" numFmtId="0" xfId="0" applyAlignment="1" applyFont="1">
      <alignment horizontal="right" vertical="bottom"/>
    </xf>
    <xf borderId="0" fillId="12" fontId="8" numFmtId="0" xfId="0" applyAlignment="1" applyFill="1" applyFont="1">
      <alignment vertical="bottom"/>
    </xf>
    <xf borderId="0" fillId="0" fontId="39" numFmtId="0" xfId="0" applyAlignment="1" applyFont="1">
      <alignment vertical="bottom"/>
    </xf>
    <xf borderId="0" fillId="0" fontId="38" numFmtId="0" xfId="0" applyAlignment="1" applyFont="1">
      <alignment readingOrder="0" vertical="bottom"/>
    </xf>
    <xf borderId="0" fillId="2" fontId="40" numFmtId="0" xfId="0" applyFont="1"/>
    <xf borderId="0" fillId="2" fontId="40" numFmtId="0" xfId="0" applyAlignment="1" applyFont="1">
      <alignment readingOrder="0"/>
    </xf>
    <xf borderId="0" fillId="4" fontId="8" numFmtId="0" xfId="0" applyAlignment="1" applyFont="1">
      <alignment vertical="bottom"/>
    </xf>
    <xf borderId="0" fillId="0" fontId="8" numFmtId="0" xfId="0" applyAlignment="1" applyFont="1">
      <alignment horizontal="center" vertical="bottom"/>
    </xf>
    <xf borderId="0" fillId="0" fontId="41" numFmtId="0" xfId="0" applyAlignment="1" applyFont="1">
      <alignment vertical="bottom"/>
    </xf>
    <xf borderId="0" fillId="7" fontId="8" numFmtId="0" xfId="0" applyAlignment="1" applyFont="1">
      <alignment vertical="bottom"/>
    </xf>
    <xf borderId="0" fillId="2" fontId="33" numFmtId="0" xfId="0" applyAlignment="1" applyFont="1">
      <alignment vertical="bottom"/>
    </xf>
    <xf borderId="0" fillId="0" fontId="33" numFmtId="0" xfId="0" applyAlignment="1" applyFont="1">
      <alignment vertical="bottom"/>
    </xf>
    <xf borderId="0" fillId="13" fontId="8" numFmtId="0" xfId="0" applyAlignment="1" applyFill="1" applyFont="1">
      <alignment vertical="bottom"/>
    </xf>
    <xf borderId="0" fillId="0" fontId="41" numFmtId="0" xfId="0" applyAlignment="1" applyFont="1">
      <alignment readingOrder="0" vertical="bottom"/>
    </xf>
    <xf borderId="5" fillId="0" fontId="41" numFmtId="0" xfId="0" applyAlignment="1" applyBorder="1" applyFont="1">
      <alignment readingOrder="0" shrinkToFit="0" vertical="bottom" wrapText="0"/>
    </xf>
    <xf borderId="0" fillId="8" fontId="8" numFmtId="0" xfId="0" applyAlignment="1" applyFont="1">
      <alignment vertical="bottom"/>
    </xf>
    <xf borderId="0" fillId="8" fontId="8" numFmtId="0" xfId="0" applyAlignment="1" applyFont="1">
      <alignment vertical="bottom"/>
    </xf>
    <xf borderId="0" fillId="0" fontId="8" numFmtId="0" xfId="0" applyAlignment="1" applyFont="1">
      <alignment readingOrder="0" shrinkToFit="0" vertical="bottom" wrapText="0"/>
    </xf>
    <xf borderId="0" fillId="0" fontId="8" numFmtId="0" xfId="0" applyAlignment="1" applyFont="1">
      <alignment horizontal="right" readingOrder="0" shrinkToFit="0" vertical="bottom" wrapText="0"/>
    </xf>
    <xf borderId="0" fillId="0" fontId="33" numFmtId="0" xfId="0" applyAlignment="1" applyFont="1">
      <alignment shrinkToFit="0" vertical="bottom" wrapText="0"/>
    </xf>
    <xf borderId="1" fillId="0" fontId="38" numFmtId="0" xfId="0" applyAlignment="1" applyBorder="1" applyFont="1">
      <alignment readingOrder="0" shrinkToFit="0" vertical="bottom" wrapText="0"/>
    </xf>
    <xf borderId="1" fillId="0" fontId="38" numFmtId="0" xfId="0" applyAlignment="1" applyBorder="1" applyFont="1">
      <alignment horizontal="center" readingOrder="0" shrinkToFit="0" vertical="bottom" wrapText="0"/>
    </xf>
    <xf borderId="1" fillId="0" fontId="38" numFmtId="0" xfId="0" applyAlignment="1" applyBorder="1" applyFont="1">
      <alignment horizontal="left" readingOrder="0" shrinkToFit="0" vertical="bottom" wrapText="0"/>
    </xf>
    <xf borderId="1" fillId="0" fontId="6" numFmtId="0" xfId="0" applyAlignment="1" applyBorder="1" applyFont="1">
      <alignment readingOrder="0" shrinkToFit="0" vertical="bottom" wrapText="0"/>
    </xf>
    <xf borderId="1" fillId="2" fontId="38" numFmtId="0" xfId="0" applyAlignment="1" applyBorder="1" applyFont="1">
      <alignment readingOrder="0" shrinkToFit="0" vertical="bottom" wrapText="0"/>
    </xf>
    <xf borderId="1" fillId="2" fontId="6" numFmtId="0" xfId="0" applyAlignment="1" applyBorder="1" applyFont="1">
      <alignment readingOrder="0" shrinkToFit="0" vertical="bottom" wrapText="0"/>
    </xf>
    <xf borderId="1" fillId="2" fontId="38" numFmtId="0" xfId="0" applyAlignment="1" applyBorder="1" applyFont="1">
      <alignment horizontal="center" readingOrder="0" shrinkToFit="0" vertical="bottom" wrapText="0"/>
    </xf>
    <xf borderId="0" fillId="2" fontId="33" numFmtId="0" xfId="0" applyAlignment="1" applyFont="1">
      <alignment horizontal="left" readingOrder="0"/>
    </xf>
    <xf borderId="0" fillId="2" fontId="42" numFmtId="0" xfId="0" applyAlignment="1" applyFont="1">
      <alignment readingOrder="0"/>
    </xf>
    <xf borderId="0" fillId="0" fontId="1" numFmtId="0" xfId="0" applyAlignment="1" applyFont="1">
      <alignment horizontal="center" readingOrder="0"/>
    </xf>
    <xf borderId="6" fillId="0" fontId="8" numFmtId="0" xfId="0" applyAlignment="1" applyBorder="1" applyFont="1">
      <alignment vertical="bottom"/>
    </xf>
    <xf borderId="7" fillId="0" fontId="8" numFmtId="0" xfId="0" applyAlignment="1" applyBorder="1" applyFont="1">
      <alignment horizontal="center" vertical="bottom"/>
    </xf>
    <xf borderId="8" fillId="0" fontId="8" numFmtId="0" xfId="0" applyAlignment="1" applyBorder="1" applyFont="1">
      <alignment horizontal="center" vertical="bottom"/>
    </xf>
    <xf borderId="0" fillId="0" fontId="33" numFmtId="0" xfId="0" applyAlignment="1" applyFont="1">
      <alignment vertical="bottom"/>
    </xf>
    <xf borderId="8" fillId="0" fontId="8" numFmtId="0" xfId="0" applyAlignment="1" applyBorder="1" applyFont="1">
      <alignment horizontal="right" vertical="bottom"/>
    </xf>
    <xf borderId="0" fillId="0" fontId="8" numFmtId="0" xfId="0" applyAlignment="1" applyFont="1">
      <alignment horizontal="right" vertical="bottom"/>
    </xf>
    <xf borderId="0" fillId="2" fontId="33" numFmtId="0" xfId="0" applyAlignment="1" applyFont="1">
      <alignment vertical="bottom"/>
    </xf>
    <xf borderId="0" fillId="2" fontId="8" numFmtId="0" xfId="0" applyAlignment="1" applyFont="1">
      <alignment vertical="bottom"/>
    </xf>
    <xf borderId="0" fillId="2" fontId="8" numFmtId="0" xfId="0" applyAlignment="1" applyFont="1">
      <alignment horizontal="right" vertical="bottom"/>
    </xf>
    <xf borderId="8" fillId="2" fontId="8" numFmtId="0" xfId="0" applyAlignment="1" applyBorder="1" applyFont="1">
      <alignment horizontal="right" vertical="bottom"/>
    </xf>
    <xf borderId="0" fillId="0" fontId="16" numFmtId="0" xfId="0" applyAlignment="1" applyFont="1">
      <alignment horizontal="center"/>
    </xf>
    <xf borderId="0" fillId="0" fontId="8" numFmtId="0" xfId="0" applyAlignment="1" applyFont="1">
      <alignment shrinkToFit="0" vertical="bottom" wrapText="0"/>
    </xf>
    <xf borderId="0" fillId="2" fontId="33" numFmtId="0" xfId="0" applyAlignment="1" applyFont="1">
      <alignment shrinkToFit="0" vertical="bottom" wrapText="0"/>
    </xf>
    <xf borderId="0" fillId="2" fontId="32" numFmtId="0" xfId="0" applyAlignment="1" applyFont="1">
      <alignment shrinkToFit="0" vertical="bottom" wrapText="1"/>
    </xf>
    <xf borderId="0" fillId="0" fontId="8" numFmtId="0" xfId="0" applyAlignment="1" applyFont="1">
      <alignment shrinkToFit="0" vertical="bottom" wrapText="1"/>
    </xf>
    <xf borderId="0" fillId="0" fontId="33" numFmtId="0" xfId="0" applyAlignment="1" applyFont="1">
      <alignment horizontal="left" readingOrder="0" shrinkToFit="0" vertical="bottom" wrapText="0"/>
    </xf>
    <xf borderId="0" fillId="0" fontId="43" numFmtId="0" xfId="0" applyAlignment="1" applyFont="1">
      <alignment shrinkToFit="0" vertical="bottom" wrapText="0"/>
    </xf>
    <xf borderId="0" fillId="0" fontId="33" numFmtId="0" xfId="0" applyAlignment="1" applyFont="1">
      <alignment horizontal="right" readingOrder="0" shrinkToFit="0" vertical="bottom" wrapText="0"/>
    </xf>
    <xf borderId="0" fillId="0" fontId="39" numFmtId="0" xfId="0" applyAlignment="1" applyFont="1">
      <alignment readingOrder="0"/>
    </xf>
    <xf borderId="0" fillId="0" fontId="15" numFmtId="0" xfId="0" applyAlignment="1" applyFont="1">
      <alignment vertical="bottom"/>
    </xf>
    <xf borderId="0" fillId="0" fontId="39" numFmtId="0" xfId="0" applyAlignment="1" applyFont="1">
      <alignment shrinkToFit="0" vertical="bottom" wrapText="1"/>
    </xf>
    <xf borderId="0" fillId="0" fontId="15" numFmtId="0" xfId="0" applyAlignment="1" applyFont="1">
      <alignment horizontal="right" vertical="bottom"/>
    </xf>
    <xf borderId="5" fillId="0" fontId="15" numFmtId="0" xfId="0" applyAlignment="1" applyBorder="1" applyFont="1">
      <alignment shrinkToFit="0" vertical="bottom" wrapText="0"/>
    </xf>
    <xf borderId="0" fillId="0" fontId="44" numFmtId="0" xfId="0" applyAlignment="1" applyFont="1">
      <alignment vertical="bottom"/>
    </xf>
    <xf borderId="0" fillId="0" fontId="45" numFmtId="0" xfId="0" applyAlignment="1" applyFont="1">
      <alignment vertical="bottom"/>
    </xf>
    <xf borderId="0" fillId="2" fontId="39" numFmtId="0" xfId="0" applyAlignment="1" applyFont="1">
      <alignment readingOrder="0"/>
    </xf>
    <xf borderId="0" fillId="0" fontId="46" numFmtId="0" xfId="0" applyAlignment="1" applyFont="1">
      <alignment readingOrder="0"/>
    </xf>
    <xf borderId="0" fillId="0" fontId="47" numFmtId="0" xfId="0" applyAlignment="1" applyFont="1">
      <alignment readingOrder="0"/>
    </xf>
    <xf borderId="0" fillId="2" fontId="48" numFmtId="0" xfId="0" applyAlignment="1" applyFont="1">
      <alignment vertical="bottom"/>
    </xf>
    <xf borderId="0" fillId="2" fontId="39" numFmtId="0" xfId="0" applyAlignment="1" applyFont="1">
      <alignment vertical="bottom"/>
    </xf>
    <xf borderId="0" fillId="0" fontId="39" numFmtId="0" xfId="0" applyFont="1"/>
    <xf borderId="0" fillId="0" fontId="39" numFmtId="0" xfId="0" applyAlignment="1" applyFont="1">
      <alignment readingOrder="0" shrinkToFit="0" wrapText="1"/>
    </xf>
    <xf borderId="0" fillId="2" fontId="38" numFmtId="0" xfId="0" applyAlignment="1" applyFont="1">
      <alignment readingOrder="0" vertical="bottom"/>
    </xf>
    <xf borderId="0" fillId="2" fontId="6" numFmtId="0" xfId="0" applyAlignment="1" applyFont="1">
      <alignment horizontal="right" readingOrder="0" vertical="bottom"/>
    </xf>
    <xf borderId="0" fillId="0" fontId="38" numFmtId="0" xfId="0" applyAlignment="1" applyFont="1">
      <alignment horizontal="right" readingOrder="0" vertical="bottom"/>
    </xf>
    <xf borderId="0" fillId="2" fontId="49" numFmtId="0" xfId="0" applyAlignment="1" applyFont="1">
      <alignment horizontal="left" readingOrder="0"/>
    </xf>
    <xf borderId="0" fillId="14" fontId="38" numFmtId="0" xfId="0" applyAlignment="1" applyFill="1" applyFont="1">
      <alignment horizontal="left" readingOrder="0" shrinkToFit="0" wrapText="0"/>
    </xf>
    <xf borderId="0" fillId="2" fontId="38" numFmtId="0" xfId="0" applyAlignment="1" applyFont="1">
      <alignment horizontal="left" readingOrder="0"/>
    </xf>
    <xf borderId="0" fillId="2" fontId="50" numFmtId="0" xfId="0" applyAlignment="1" applyFont="1">
      <alignment horizontal="left" readingOrder="0"/>
    </xf>
    <xf borderId="0" fillId="0" fontId="6" numFmtId="0" xfId="0" applyAlignment="1" applyFont="1">
      <alignment vertical="bottom"/>
    </xf>
    <xf borderId="0" fillId="2" fontId="32" numFmtId="0" xfId="0" applyAlignment="1" applyFont="1">
      <alignment horizontal="left" readingOrder="0"/>
    </xf>
    <xf borderId="0" fillId="0" fontId="33" numFmtId="0" xfId="0" applyAlignment="1" applyFont="1">
      <alignment readingOrder="0" shrinkToFit="0" vertical="bottom" wrapText="0"/>
    </xf>
    <xf borderId="0" fillId="0" fontId="33" numFmtId="0" xfId="0" applyAlignment="1" applyFont="1">
      <alignment readingOrder="0" shrinkToFit="0" vertical="bottom" wrapText="0"/>
    </xf>
    <xf borderId="0" fillId="0" fontId="51" numFmtId="0" xfId="0" applyAlignment="1" applyFont="1">
      <alignment readingOrder="0" shrinkToFit="0" vertical="bottom" wrapText="0"/>
    </xf>
    <xf borderId="1" fillId="0" fontId="33" numFmtId="0" xfId="0" applyAlignment="1" applyBorder="1" applyFont="1">
      <alignment vertical="bottom"/>
    </xf>
    <xf borderId="1" fillId="0" fontId="33" numFmtId="0" xfId="0" applyAlignment="1" applyBorder="1" applyFont="1">
      <alignment horizontal="right" vertical="bottom"/>
    </xf>
    <xf borderId="1" fillId="0" fontId="8" numFmtId="0" xfId="0" applyAlignment="1" applyBorder="1" applyFont="1">
      <alignment readingOrder="0" vertical="bottom"/>
    </xf>
    <xf borderId="0" fillId="0" fontId="8" numFmtId="0" xfId="0" applyAlignment="1" applyFont="1">
      <alignment readingOrder="0" vertical="bottom"/>
    </xf>
    <xf borderId="1" fillId="15" fontId="33" numFmtId="0" xfId="0" applyAlignment="1" applyBorder="1" applyFill="1" applyFont="1">
      <alignment vertical="bottom"/>
    </xf>
    <xf borderId="5" fillId="0" fontId="8" numFmtId="0" xfId="0" applyAlignment="1" applyBorder="1" applyFont="1">
      <alignment shrinkToFit="0" vertical="bottom" wrapText="0"/>
    </xf>
    <xf borderId="9" fillId="0" fontId="33" numFmtId="0" xfId="0" applyAlignment="1" applyBorder="1" applyFont="1">
      <alignment readingOrder="0" vertical="bottom"/>
    </xf>
    <xf borderId="1" fillId="0" fontId="33" numFmtId="0" xfId="0" applyAlignment="1" applyBorder="1" applyFont="1">
      <alignment readingOrder="0" vertical="bottom"/>
    </xf>
    <xf borderId="1" fillId="0" fontId="8" numFmtId="0" xfId="0" applyAlignment="1" applyBorder="1" applyFont="1">
      <alignment vertical="bottom"/>
    </xf>
    <xf borderId="1" fillId="0" fontId="33" numFmtId="0" xfId="0" applyAlignment="1" applyBorder="1" applyFont="1">
      <alignment readingOrder="0" shrinkToFit="0" vertical="bottom" wrapText="0"/>
    </xf>
    <xf borderId="10" fillId="0" fontId="33" numFmtId="0" xfId="0" applyAlignment="1" applyBorder="1" applyFont="1">
      <alignment vertical="bottom"/>
    </xf>
    <xf borderId="4" fillId="0" fontId="33" numFmtId="0" xfId="0" applyAlignment="1" applyBorder="1" applyFont="1">
      <alignment vertical="bottom"/>
    </xf>
    <xf borderId="4" fillId="0" fontId="8" numFmtId="0" xfId="0" applyAlignment="1" applyBorder="1" applyFont="1">
      <alignment vertical="bottom"/>
    </xf>
    <xf borderId="11" fillId="0" fontId="33" numFmtId="0" xfId="0" applyAlignment="1" applyBorder="1" applyFont="1">
      <alignment shrinkToFit="0" vertical="bottom" wrapText="0"/>
    </xf>
    <xf borderId="0" fillId="0" fontId="1" numFmtId="49" xfId="0" applyAlignment="1" applyFont="1" applyNumberFormat="1">
      <alignment readingOrder="0"/>
    </xf>
    <xf borderId="0" fillId="0" fontId="1" numFmtId="49" xfId="0" applyFont="1" applyNumberFormat="1"/>
    <xf borderId="0" fillId="4" fontId="16" numFmtId="49" xfId="0" applyAlignment="1" applyFont="1" applyNumberFormat="1">
      <alignment readingOrder="0"/>
    </xf>
    <xf borderId="0" fillId="0" fontId="16" numFmtId="49" xfId="0" applyFont="1" applyNumberFormat="1"/>
    <xf borderId="0" fillId="0" fontId="52" numFmtId="49" xfId="0" applyAlignment="1" applyFont="1" applyNumberFormat="1">
      <alignment shrinkToFit="0" vertical="bottom" wrapText="0"/>
    </xf>
    <xf borderId="0" fillId="7" fontId="16" numFmtId="49" xfId="0" applyAlignment="1" applyFont="1" applyNumberFormat="1">
      <alignment readingOrder="0"/>
    </xf>
    <xf borderId="0" fillId="2" fontId="32" numFmtId="49" xfId="0" applyAlignment="1" applyFont="1" applyNumberFormat="1">
      <alignment readingOrder="0"/>
    </xf>
    <xf borderId="0" fillId="0" fontId="53" numFmtId="0" xfId="0" applyAlignment="1" applyFont="1">
      <alignment horizontal="left" readingOrder="0"/>
    </xf>
    <xf borderId="0" fillId="0" fontId="54" numFmtId="0" xfId="0" applyAlignment="1" applyFont="1">
      <alignment readingOrder="0" shrinkToFit="0" wrapText="1"/>
    </xf>
    <xf borderId="0" fillId="0" fontId="15" numFmtId="0" xfId="0" applyAlignment="1" applyFont="1">
      <alignment readingOrder="0" shrinkToFit="0" vertical="bottom" wrapText="0"/>
    </xf>
    <xf borderId="0" fillId="0" fontId="55" numFmtId="0" xfId="0" applyAlignment="1" applyFont="1">
      <alignment horizontal="left" shrinkToFit="0" vertical="bottom" wrapText="0"/>
    </xf>
    <xf borderId="0" fillId="0" fontId="56" numFmtId="0" xfId="0" applyAlignment="1" applyFont="1">
      <alignment shrinkToFit="0" vertical="bottom" wrapText="0"/>
    </xf>
    <xf borderId="0" fillId="0" fontId="57" numFmtId="0" xfId="0" applyAlignment="1" applyFont="1">
      <alignment vertical="bottom"/>
    </xf>
    <xf borderId="0" fillId="0" fontId="58" numFmtId="0" xfId="0" applyAlignment="1" applyFont="1">
      <alignment readingOrder="0" shrinkToFit="0" vertical="bottom" wrapText="0"/>
    </xf>
    <xf borderId="0" fillId="0" fontId="15" numFmtId="0" xfId="0" applyAlignment="1" applyFont="1">
      <alignment shrinkToFit="0" vertical="bottom" wrapText="0"/>
    </xf>
    <xf borderId="0" fillId="2" fontId="59" numFmtId="0" xfId="0" applyAlignment="1" applyFont="1">
      <alignment horizontal="left" readingOrder="0" shrinkToFit="0" vertical="bottom" wrapText="0"/>
    </xf>
    <xf borderId="0" fillId="0" fontId="60" numFmtId="0" xfId="0" applyAlignment="1" applyFont="1">
      <alignment vertical="bottom"/>
    </xf>
    <xf borderId="0" fillId="0" fontId="61" numFmtId="0" xfId="0" applyAlignment="1" applyFont="1">
      <alignment readingOrder="0" shrinkToFit="0" vertical="bottom" wrapText="0"/>
    </xf>
    <xf borderId="0" fillId="2" fontId="62" numFmtId="0" xfId="0" applyAlignment="1" applyFont="1">
      <alignment readingOrder="0" shrinkToFit="0" vertical="bottom" wrapText="0"/>
    </xf>
    <xf borderId="0" fillId="0" fontId="63" numFmtId="0" xfId="0" applyAlignment="1" applyFont="1">
      <alignment shrinkToFit="0" vertical="bottom" wrapText="0"/>
    </xf>
    <xf borderId="0" fillId="0" fontId="6" numFmtId="0" xfId="0" applyAlignment="1" applyFont="1">
      <alignment horizontal="left" shrinkToFit="0" vertical="bottom" wrapText="0"/>
    </xf>
    <xf borderId="0" fillId="0" fontId="41" numFmtId="0" xfId="0" applyAlignment="1" applyFont="1">
      <alignment vertical="bottom"/>
    </xf>
    <xf borderId="0" fillId="0" fontId="1" numFmtId="0" xfId="0" applyAlignment="1" applyFont="1">
      <alignment readingOrder="0" shrinkToFit="0" wrapText="1"/>
    </xf>
    <xf borderId="0" fillId="4" fontId="8" numFmtId="0" xfId="0" applyAlignment="1" applyFont="1">
      <alignment vertical="bottom"/>
    </xf>
    <xf borderId="0" fillId="0" fontId="64" numFmtId="0" xfId="0" applyAlignment="1" applyFont="1">
      <alignment horizontal="left" vertical="bottom"/>
    </xf>
    <xf borderId="0" fillId="0" fontId="64" numFmtId="0" xfId="0" applyAlignment="1" applyFont="1">
      <alignment horizontal="center" vertical="bottom"/>
    </xf>
    <xf borderId="0" fillId="0" fontId="8" numFmtId="0" xfId="0" applyAlignment="1" applyFont="1">
      <alignment shrinkToFit="0" vertical="bottom" wrapText="1"/>
    </xf>
    <xf borderId="0" fillId="0" fontId="64" numFmtId="0" xfId="0" applyAlignment="1" applyFont="1">
      <alignment horizontal="left" readingOrder="0" vertical="bottom"/>
    </xf>
    <xf borderId="0" fillId="0" fontId="16" numFmtId="0" xfId="0" applyAlignment="1" applyFont="1">
      <alignment shrinkToFit="0" wrapText="1"/>
    </xf>
    <xf borderId="0" fillId="0" fontId="16" numFmtId="0" xfId="0" applyAlignment="1" applyFont="1">
      <alignment horizontal="center" readingOrder="0" vertical="bottom"/>
    </xf>
    <xf borderId="0" fillId="0" fontId="39" numFmtId="0" xfId="0" applyAlignment="1" applyFont="1">
      <alignment shrinkToFit="0" wrapText="1"/>
    </xf>
    <xf borderId="0" fillId="7" fontId="8" numFmtId="0" xfId="0" applyAlignment="1" applyFont="1">
      <alignment vertical="bottom"/>
    </xf>
    <xf borderId="0" fillId="0" fontId="16" numFmtId="0" xfId="0" applyFont="1"/>
    <xf borderId="0" fillId="0" fontId="16" numFmtId="0" xfId="0" applyAlignment="1" applyFont="1">
      <alignment horizontal="center" readingOrder="0"/>
    </xf>
    <xf borderId="0" fillId="0" fontId="16" numFmtId="0" xfId="0" applyAlignment="1" applyFont="1">
      <alignment horizontal="center" vertical="bottom"/>
    </xf>
    <xf borderId="0" fillId="0" fontId="16" numFmtId="0" xfId="0" applyAlignment="1" applyFont="1">
      <alignment readingOrder="0" shrinkToFit="0" wrapText="1"/>
    </xf>
    <xf borderId="0" fillId="0" fontId="16" numFmtId="0" xfId="0" applyAlignment="1" applyFont="1">
      <alignment horizontal="left" readingOrder="0" vertical="bottom"/>
    </xf>
    <xf borderId="0" fillId="0" fontId="16" numFmtId="0" xfId="0" applyAlignment="1" applyFont="1">
      <alignment horizontal="left" vertical="bottom"/>
    </xf>
    <xf borderId="0" fillId="0" fontId="64" numFmtId="0" xfId="0" applyAlignment="1" applyFont="1">
      <alignment horizontal="left" shrinkToFit="0" vertical="bottom" wrapText="1"/>
    </xf>
    <xf borderId="0" fillId="2" fontId="33" numFmtId="0" xfId="0" applyAlignment="1" applyFont="1">
      <alignment horizontal="left"/>
    </xf>
    <xf borderId="0" fillId="7" fontId="16" numFmtId="0" xfId="0" applyFont="1"/>
    <xf borderId="0" fillId="2" fontId="65"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31" Type="http://schemas.openxmlformats.org/officeDocument/2006/relationships/worksheet" Target="worksheets/sheet29.xml"/><Relationship Id="rId30" Type="http://schemas.openxmlformats.org/officeDocument/2006/relationships/worksheet" Target="worksheets/sheet28.xml"/><Relationship Id="rId33" Type="http://schemas.openxmlformats.org/officeDocument/2006/relationships/worksheet" Target="worksheets/sheet31.xml"/><Relationship Id="rId32" Type="http://schemas.openxmlformats.org/officeDocument/2006/relationships/worksheet" Target="worksheets/sheet30.xml"/><Relationship Id="rId34" Type="http://schemas.openxmlformats.org/officeDocument/2006/relationships/worksheet" Target="worksheets/sheet32.xml"/><Relationship Id="rId20" Type="http://schemas.openxmlformats.org/officeDocument/2006/relationships/worksheet" Target="worksheets/sheet18.xml"/><Relationship Id="rId22" Type="http://schemas.openxmlformats.org/officeDocument/2006/relationships/worksheet" Target="worksheets/sheet20.xml"/><Relationship Id="rId21" Type="http://schemas.openxmlformats.org/officeDocument/2006/relationships/worksheet" Target="worksheets/sheet19.xml"/><Relationship Id="rId24" Type="http://schemas.openxmlformats.org/officeDocument/2006/relationships/worksheet" Target="worksheets/sheet22.xml"/><Relationship Id="rId23" Type="http://schemas.openxmlformats.org/officeDocument/2006/relationships/worksheet" Target="worksheets/sheet21.xml"/><Relationship Id="rId26" Type="http://schemas.openxmlformats.org/officeDocument/2006/relationships/worksheet" Target="worksheets/sheet24.xml"/><Relationship Id="rId25" Type="http://schemas.openxmlformats.org/officeDocument/2006/relationships/worksheet" Target="worksheets/sheet23.xml"/><Relationship Id="rId28" Type="http://schemas.openxmlformats.org/officeDocument/2006/relationships/worksheet" Target="worksheets/sheet26.xml"/><Relationship Id="rId27" Type="http://schemas.openxmlformats.org/officeDocument/2006/relationships/worksheet" Target="worksheets/sheet25.xml"/><Relationship Id="rId29" Type="http://schemas.openxmlformats.org/officeDocument/2006/relationships/worksheet" Target="worksheets/sheet27.xml"/><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19" Type="http://schemas.openxmlformats.org/officeDocument/2006/relationships/worksheet" Target="worksheets/sheet17.xml"/><Relationship Id="rId18" Type="http://schemas.openxmlformats.org/officeDocument/2006/relationships/worksheet" Target="worksheets/sheet16.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hyperlink" Target="https://www.gov.br/capes/pt-br/centrais-de-conteudo/documentos/avaliacao/09012022_CLASSIFICACAODEEVENTOSPARA20172020.xlsx" TargetMode="External"/><Relationship Id="rId2" Type="http://schemas.openxmlformats.org/officeDocument/2006/relationships/hyperlink" Target="https://scholar.google.com/citations?hl=en&amp;view_op=search_venues&amp;vq=brazilian+symposium+on+games+and+digital+entertainment&amp;btnG=" TargetMode="External"/><Relationship Id="rId3" Type="http://schemas.openxmlformats.org/officeDocument/2006/relationships/hyperlink" Target="https://dblp.org/db/conf/sbgames/index.html" TargetMode="External"/><Relationship Id="rId4" Type="http://schemas.openxmlformats.org/officeDocument/2006/relationships/hyperlink" Target="https://sol.sbc.org.br/index.php/sbgames" TargetMode="External"/><Relationship Id="rId10" Type="http://schemas.openxmlformats.org/officeDocument/2006/relationships/drawing" Target="../drawings/drawing1.xml"/><Relationship Id="rId9" Type="http://schemas.openxmlformats.org/officeDocument/2006/relationships/hyperlink" Target="https://www.gov.br/capes/pt-br/centrais-de-conteudo/10062019-qualis-artistico-classificacao-de-eventos-pdf" TargetMode="External"/><Relationship Id="rId5" Type="http://schemas.openxmlformats.org/officeDocument/2006/relationships/hyperlink" Target="https://scholar.google.com/citations?hl=en&amp;view_op=list_hcore&amp;venue=CwfZO4J4a4UJ.2023" TargetMode="External"/><Relationship Id="rId6" Type="http://schemas.openxmlformats.org/officeDocument/2006/relationships/hyperlink" Target="https://dblp.org/db/conf/sigsoft/index.html" TargetMode="External"/><Relationship Id="rId7" Type="http://schemas.openxmlformats.org/officeDocument/2006/relationships/hyperlink" Target="https://scholar.google.com/citations?hl=en&amp;view_op=list_hcore&amp;venue=7pDaek0315EJ.2023" TargetMode="External"/><Relationship Id="rId8" Type="http://schemas.openxmlformats.org/officeDocument/2006/relationships/hyperlink" Target="https://dblp.org/db/conf/icsa/index.html" TargetMode="External"/></Relationships>
</file>

<file path=xl/worksheets/_rels/sheet10.xml.rels><?xml version="1.0" encoding="UTF-8" standalone="yes"?><Relationships xmlns="http://schemas.openxmlformats.org/package/2006/relationships"><Relationship Id="rId40" Type="http://schemas.openxmlformats.org/officeDocument/2006/relationships/hyperlink" Target="https://scholar.google.com.br/citations?hl=en&amp;view_op=list_hcore&amp;venue=y8-AwXJ0Me0J.2024" TargetMode="External"/><Relationship Id="rId42" Type="http://schemas.openxmlformats.org/officeDocument/2006/relationships/hyperlink" Target="https://scholar.google.com.br/citations?hl=en&amp;view_op=list_hcore&amp;venue=FBp6ksxIdQYJ.2024" TargetMode="External"/><Relationship Id="rId41" Type="http://schemas.openxmlformats.org/officeDocument/2006/relationships/hyperlink" Target="https://dblp.org/db/conf/systol/index.html" TargetMode="External"/><Relationship Id="rId44" Type="http://schemas.openxmlformats.org/officeDocument/2006/relationships/hyperlink" Target="https://scholar.google.com/scholar?as_q=&amp;as_epq=&amp;as_oq=&amp;as_eq=&amp;as_occt=any&amp;as_sauthors=&amp;as_publication=International+Conference+on+Dependability+of+Computer+Systems&amp;as_ylo=&amp;as_yhi=&amp;hl=en&amp;as_sdt=0%2C5" TargetMode="External"/><Relationship Id="rId43" Type="http://schemas.openxmlformats.org/officeDocument/2006/relationships/hyperlink" Target="https://dblp.org/db/conf/aina/index.html" TargetMode="External"/><Relationship Id="rId46" Type="http://schemas.openxmlformats.org/officeDocument/2006/relationships/hyperlink" Target="https://scholar.google.com/scholar?as_q=&amp;as_epq=&amp;as_oq=&amp;as_eq=&amp;as_occt=any&amp;as_sauthors=&amp;as_publication=IEEE+International+Conference+on+Dependable+Systems+and+Networks+Workshops&amp;as_ylo=&amp;as_yhi=&amp;hl=en&amp;as_sdt=0%2C5" TargetMode="External"/><Relationship Id="rId45" Type="http://schemas.openxmlformats.org/officeDocument/2006/relationships/hyperlink" Target="https://dblp.org/db/conf/depcos/index.html" TargetMode="External"/><Relationship Id="rId48" Type="http://schemas.openxmlformats.org/officeDocument/2006/relationships/hyperlink" Target="https://scholar.google.com.br/citations?hl=en&amp;view_op=list_hcore&amp;venue=SrrjCUAZeRcJ.2024" TargetMode="External"/><Relationship Id="rId47" Type="http://schemas.openxmlformats.org/officeDocument/2006/relationships/hyperlink" Target="https://dblp.org/db/conf/dsn/dsn2024w.html" TargetMode="External"/><Relationship Id="rId49" Type="http://schemas.openxmlformats.org/officeDocument/2006/relationships/hyperlink" Target="https://dblp.org/db/conf/ica3pp/index.html" TargetMode="External"/><Relationship Id="rId31" Type="http://schemas.openxmlformats.org/officeDocument/2006/relationships/hyperlink" Target="https://scholar.google.com/scholar?as_q=&amp;as_epq=&amp;as_oq=&amp;as_eq=&amp;as_occt=any&amp;as_sauthors=&amp;as_publication=Latin-American+Symposium+on+Dependable+Computing&amp;as_ylo=&amp;as_yhi=&amp;hl=en&amp;as_sdt=0%2C5" TargetMode="External"/><Relationship Id="rId30" Type="http://schemas.openxmlformats.org/officeDocument/2006/relationships/hyperlink" Target="https://dblp.org/db/conf/iscc/index.html" TargetMode="External"/><Relationship Id="rId33" Type="http://schemas.openxmlformats.org/officeDocument/2006/relationships/hyperlink" Target="https://sol.sbc.org.br/index.php/ladc" TargetMode="External"/><Relationship Id="rId32" Type="http://schemas.openxmlformats.org/officeDocument/2006/relationships/hyperlink" Target="https://dblp.org/db/conf/ladc/index.html" TargetMode="External"/><Relationship Id="rId35" Type="http://schemas.openxmlformats.org/officeDocument/2006/relationships/hyperlink" Target="https://dblp.org/db/conf/opodis/index.html" TargetMode="External"/><Relationship Id="rId34" Type="http://schemas.openxmlformats.org/officeDocument/2006/relationships/hyperlink" Target="https://scholar.google.com.br/citations?hl=en&amp;view_op=list_hcore&amp;venue=0luRC0xHVlsJ.2024" TargetMode="External"/><Relationship Id="rId37" Type="http://schemas.openxmlformats.org/officeDocument/2006/relationships/hyperlink" Target="https://dblp.org/db/conf/prdc/index.html" TargetMode="External"/><Relationship Id="rId36" Type="http://schemas.openxmlformats.org/officeDocument/2006/relationships/hyperlink" Target="https://scholar.google.com.br/citations?hl=en&amp;view_op=list_hcore&amp;venue=UMMGw1KV79IJ.2024" TargetMode="External"/><Relationship Id="rId39" Type="http://schemas.openxmlformats.org/officeDocument/2006/relationships/hyperlink" Target="https://sol.sbc.org.br/index.php/sast" TargetMode="External"/><Relationship Id="rId38" Type="http://schemas.openxmlformats.org/officeDocument/2006/relationships/hyperlink" Target="https://dblp.org/db/conf/sast/index.html" TargetMode="External"/><Relationship Id="rId20" Type="http://schemas.openxmlformats.org/officeDocument/2006/relationships/hyperlink" Target="https://dblp.org/db/conf/srds/index.html" TargetMode="External"/><Relationship Id="rId22" Type="http://schemas.openxmlformats.org/officeDocument/2006/relationships/hyperlink" Target="https://dblp.org/db/conf/dft/index.html" TargetMode="External"/><Relationship Id="rId21" Type="http://schemas.openxmlformats.org/officeDocument/2006/relationships/hyperlink" Target="https://scholar.google.com.br/citations?hl=en&amp;view_op=list_hcore&amp;venue=y53zu2cNqqkJ.2018" TargetMode="External"/><Relationship Id="rId24" Type="http://schemas.openxmlformats.org/officeDocument/2006/relationships/hyperlink" Target="https://dblp.org/db/conf/edcc/index.html" TargetMode="External"/><Relationship Id="rId23" Type="http://schemas.openxmlformats.org/officeDocument/2006/relationships/hyperlink" Target="https://scholar.google.com.br/citations?hl=en&amp;view_op=list_hcore&amp;venue=YcdY4WsTx_sJ.2024" TargetMode="External"/><Relationship Id="rId26" Type="http://schemas.openxmlformats.org/officeDocument/2006/relationships/hyperlink" Target="https://dblp.org/db/conf/hase/index.html" TargetMode="External"/><Relationship Id="rId25" Type="http://schemas.openxmlformats.org/officeDocument/2006/relationships/hyperlink" Target="https://scholar.google.com.br/citations?hl=en&amp;view_op=list_hcore&amp;venue=EhHHXze7CIMJ.2021" TargetMode="External"/><Relationship Id="rId28" Type="http://schemas.openxmlformats.org/officeDocument/2006/relationships/hyperlink" Target="https://dblp.org/db/conf/icdcn/index.html" TargetMode="External"/><Relationship Id="rId27" Type="http://schemas.openxmlformats.org/officeDocument/2006/relationships/hyperlink" Target="https://scholar.google.com.br/citations?hl=en&amp;view_op=list_hcore&amp;venue=6yOnSpL6IYsJ.2024" TargetMode="External"/><Relationship Id="rId29" Type="http://schemas.openxmlformats.org/officeDocument/2006/relationships/hyperlink" Target="https://scholar.google.com.br/citations?hl=en&amp;view_op=list_hcore&amp;venue=0jK8bHjCH68J.2024" TargetMode="External"/><Relationship Id="rId11" Type="http://schemas.openxmlformats.org/officeDocument/2006/relationships/hyperlink" Target="https://scholar.google.com.br/citations?hl=en&amp;view_op=list_hcore&amp;venue=xJhIFxijeG8J.2024" TargetMode="External"/><Relationship Id="rId10" Type="http://schemas.openxmlformats.org/officeDocument/2006/relationships/hyperlink" Target="https://dblp.org/db/conf/ipps/index.html" TargetMode="External"/><Relationship Id="rId13" Type="http://schemas.openxmlformats.org/officeDocument/2006/relationships/hyperlink" Target="https://scholar.google.com.br/citations?hl=en&amp;view_op=list_hcore&amp;venue=NA4iP0Rm0toJ.2024" TargetMode="External"/><Relationship Id="rId12" Type="http://schemas.openxmlformats.org/officeDocument/2006/relationships/hyperlink" Target="https://dblp.org/db/conf/issre/index.html" TargetMode="External"/><Relationship Id="rId15" Type="http://schemas.openxmlformats.org/officeDocument/2006/relationships/hyperlink" Target="https://scholar.google.com.br/citations?hl=en&amp;view_op=list_hcore&amp;venue=fcioh0Px5iMJ.2024" TargetMode="External"/><Relationship Id="rId14" Type="http://schemas.openxmlformats.org/officeDocument/2006/relationships/hyperlink" Target="https://dblp.org/db/conf/middleware/index.html" TargetMode="External"/><Relationship Id="rId17" Type="http://schemas.openxmlformats.org/officeDocument/2006/relationships/hyperlink" Target="https://scholar.google.com.br/citations?hl=en&amp;view_op=list_hcore&amp;venue=fWfpTei59DsJ.2024" TargetMode="External"/><Relationship Id="rId16" Type="http://schemas.openxmlformats.org/officeDocument/2006/relationships/hyperlink" Target="https://dblp.org/db/conf/podc/index.html" TargetMode="External"/><Relationship Id="rId19" Type="http://schemas.openxmlformats.org/officeDocument/2006/relationships/hyperlink" Target="https://scholar.google.com.br/citations?hl=en&amp;view_op=list_hcore&amp;venue=f5ybybsCQdkJ.2024" TargetMode="External"/><Relationship Id="rId18" Type="http://schemas.openxmlformats.org/officeDocument/2006/relationships/hyperlink" Target="https://dblp.org/db/conf/safecomp/index.html" TargetMode="External"/><Relationship Id="rId84" Type="http://schemas.openxmlformats.org/officeDocument/2006/relationships/hyperlink" Target="https://dblp.org/db/conf/blockchain2/index.html" TargetMode="External"/><Relationship Id="rId83" Type="http://schemas.openxmlformats.org/officeDocument/2006/relationships/hyperlink" Target="https://scholar.google.com.br/citations?hl=en&amp;view_op=list_hcore&amp;venue=DGN3r9u7HNQJ.2024" TargetMode="External"/><Relationship Id="rId86" Type="http://schemas.openxmlformats.org/officeDocument/2006/relationships/hyperlink" Target="https://dblp.org/db/conf/icbc2/index.html" TargetMode="External"/><Relationship Id="rId85" Type="http://schemas.openxmlformats.org/officeDocument/2006/relationships/hyperlink" Target="https://scholar.google.com.br/citations?hl=en&amp;view_op=list_hcore&amp;venue=Hh3XGFymILkJ.2024" TargetMode="External"/><Relationship Id="rId88" Type="http://schemas.openxmlformats.org/officeDocument/2006/relationships/hyperlink" Target="https://dblp.org/db/conf/icbct/index.html" TargetMode="External"/><Relationship Id="rId87" Type="http://schemas.openxmlformats.org/officeDocument/2006/relationships/hyperlink" Target="https://scholar.google.com.br/citations?hl=en&amp;view_op=list_hcore&amp;venue=CZ0MOLo1dE8J.2024" TargetMode="External"/><Relationship Id="rId89" Type="http://schemas.openxmlformats.org/officeDocument/2006/relationships/drawing" Target="../drawings/drawing10.xml"/><Relationship Id="rId80" Type="http://schemas.openxmlformats.org/officeDocument/2006/relationships/hyperlink" Target="https://scholar.google.com.br/citations?hl=en&amp;view_op=list_hcore&amp;venue=MZeKedZe-5YJ.2024" TargetMode="External"/><Relationship Id="rId82" Type="http://schemas.openxmlformats.org/officeDocument/2006/relationships/hyperlink" Target="https://sol.sbc.org.br/index.php/wtf" TargetMode="External"/><Relationship Id="rId81" Type="http://schemas.openxmlformats.org/officeDocument/2006/relationships/hyperlink" Target="https://sol.sbc.org.br/index.php/sscad" TargetMode="External"/><Relationship Id="rId1" Type="http://schemas.openxmlformats.org/officeDocument/2006/relationships/hyperlink" Target="https://scholar.google.com.br/citations?hl=en&amp;view_op=list_hcore&amp;venue=I09_2V3FJhwJ.2024" TargetMode="External"/><Relationship Id="rId2" Type="http://schemas.openxmlformats.org/officeDocument/2006/relationships/hyperlink" Target="https://dblp.org/db/conf/wdag/index.html" TargetMode="External"/><Relationship Id="rId3" Type="http://schemas.openxmlformats.org/officeDocument/2006/relationships/hyperlink" Target="https://scholar.google.com.br/citations?hl=en&amp;view_op=list_hcore&amp;venue=MVYbyyKMpToJ.2024" TargetMode="External"/><Relationship Id="rId4" Type="http://schemas.openxmlformats.org/officeDocument/2006/relationships/hyperlink" Target="https://dblp.org/db/conf/dsn/index.html" TargetMode="External"/><Relationship Id="rId9" Type="http://schemas.openxmlformats.org/officeDocument/2006/relationships/hyperlink" Target="https://scholar.google.com.br/citations?hl=en&amp;view_op=list_hcore&amp;venue=Cge5_JoKLicJ.2024" TargetMode="External"/><Relationship Id="rId5" Type="http://schemas.openxmlformats.org/officeDocument/2006/relationships/hyperlink" Target="https://scholar.google.com.br/citations?hl=en&amp;view_op=list_hcore&amp;venue=8LhhnAnPYO8J.2024" TargetMode="External"/><Relationship Id="rId6" Type="http://schemas.openxmlformats.org/officeDocument/2006/relationships/hyperlink" Target="https://dblp.org/db/conf/eurosys/index.html" TargetMode="External"/><Relationship Id="rId7" Type="http://schemas.openxmlformats.org/officeDocument/2006/relationships/hyperlink" Target="https://scholar.google.com.br/citations?hl=en&amp;view_op=list_hcore&amp;venue=CiHz08Ia1nsJ.2024" TargetMode="External"/><Relationship Id="rId8" Type="http://schemas.openxmlformats.org/officeDocument/2006/relationships/hyperlink" Target="https://dblp.org/db/conf/icdcs/index.html" TargetMode="External"/><Relationship Id="rId73" Type="http://schemas.openxmlformats.org/officeDocument/2006/relationships/hyperlink" Target="https://dblp.org/db/conf/sbrc/index.html" TargetMode="External"/><Relationship Id="rId72" Type="http://schemas.openxmlformats.org/officeDocument/2006/relationships/hyperlink" Target="https://scholar.google.com.br/citations?hl=en&amp;view_op=list_hcore&amp;venue=3vnP2ksW2eAJ.2024" TargetMode="External"/><Relationship Id="rId75" Type="http://schemas.openxmlformats.org/officeDocument/2006/relationships/hyperlink" Target="https://scholar.google.com.br/citations?hl=en&amp;view_op=list_hcore&amp;venue=Dsyl66B8iM0J.2024" TargetMode="External"/><Relationship Id="rId74" Type="http://schemas.openxmlformats.org/officeDocument/2006/relationships/hyperlink" Target="https://sol.sbc.org.br/index.php/sbrc" TargetMode="External"/><Relationship Id="rId77" Type="http://schemas.openxmlformats.org/officeDocument/2006/relationships/hyperlink" Target="https://sol.sbc.org.br/index.php/sbseg" TargetMode="External"/><Relationship Id="rId76" Type="http://schemas.openxmlformats.org/officeDocument/2006/relationships/hyperlink" Target="https://dblp.org/db/conf/sbsi/index.html" TargetMode="External"/><Relationship Id="rId79" Type="http://schemas.openxmlformats.org/officeDocument/2006/relationships/hyperlink" Target="https://dblp.org/db/conf/usenix/index.html" TargetMode="External"/><Relationship Id="rId78" Type="http://schemas.openxmlformats.org/officeDocument/2006/relationships/hyperlink" Target="https://scholar.google.com.br/citations?hl=en&amp;view_op=list_hcore&amp;venue=UoM6MOnWKE8J.2024" TargetMode="External"/><Relationship Id="rId71" Type="http://schemas.openxmlformats.org/officeDocument/2006/relationships/hyperlink" Target="https://sol.sbc.org.br/index.php/sbesc" TargetMode="External"/><Relationship Id="rId70" Type="http://schemas.openxmlformats.org/officeDocument/2006/relationships/hyperlink" Target="https://dblp.org/db/conf/sbesc/index.html" TargetMode="External"/><Relationship Id="rId62" Type="http://schemas.openxmlformats.org/officeDocument/2006/relationships/hyperlink" Target="https://scholar.google.com.br/citations?hl=en&amp;view_op=list_hcore&amp;venue=J92rQU3cJVwJ.2023" TargetMode="External"/><Relationship Id="rId61" Type="http://schemas.openxmlformats.org/officeDocument/2006/relationships/hyperlink" Target="https://dblp.org/db/conf/nca/index.html" TargetMode="External"/><Relationship Id="rId64" Type="http://schemas.openxmlformats.org/officeDocument/2006/relationships/hyperlink" Target="https://scholar.google.com.br/citations?hl=en&amp;view_op=list_hcore&amp;venue=nZZ8G3Einp0J.2024" TargetMode="External"/><Relationship Id="rId63" Type="http://schemas.openxmlformats.org/officeDocument/2006/relationships/hyperlink" Target="https://dblp.org/db/conf/nsdi/index.html" TargetMode="External"/><Relationship Id="rId66" Type="http://schemas.openxmlformats.org/officeDocument/2006/relationships/hyperlink" Target="https://scholar.google.com.br/citations?hl=en&amp;view_op=list_hcore&amp;venue=xujU2BmpDawJ.2024" TargetMode="External"/><Relationship Id="rId65" Type="http://schemas.openxmlformats.org/officeDocument/2006/relationships/hyperlink" Target="https://dblp.org/db/conf/osdi/osdi2022.html" TargetMode="External"/><Relationship Id="rId68" Type="http://schemas.openxmlformats.org/officeDocument/2006/relationships/hyperlink" Target="https://sol.sbc.org.br/index.php/sbac-pad" TargetMode="External"/><Relationship Id="rId67" Type="http://schemas.openxmlformats.org/officeDocument/2006/relationships/hyperlink" Target="https://dblp.org/rec/conf/sbac-pad/2017.html" TargetMode="External"/><Relationship Id="rId60" Type="http://schemas.openxmlformats.org/officeDocument/2006/relationships/hyperlink" Target="https://scholar.google.com.br/citations?hl=en&amp;view_op=list_hcore&amp;venue=lTgG3I7tby0J.2024" TargetMode="External"/><Relationship Id="rId69" Type="http://schemas.openxmlformats.org/officeDocument/2006/relationships/hyperlink" Target="https://scholar.google.com.br/citations?hl=en&amp;view_op=list_hcore&amp;venue=EA9qTFRFeoUJ.2024" TargetMode="External"/><Relationship Id="rId51" Type="http://schemas.openxmlformats.org/officeDocument/2006/relationships/hyperlink" Target="https://dblp.org/db/conf/icdcs/icdcs2024w.html" TargetMode="External"/><Relationship Id="rId50" Type="http://schemas.openxmlformats.org/officeDocument/2006/relationships/hyperlink" Target="https://scholar.google.com.br/citations?hl=en&amp;view_op=list_hcore&amp;venue=iYMCTRkCEn4J.2019" TargetMode="External"/><Relationship Id="rId53" Type="http://schemas.openxmlformats.org/officeDocument/2006/relationships/hyperlink" Target="https://dblp.org/rec/conf/icpads/2010.html" TargetMode="External"/><Relationship Id="rId52" Type="http://schemas.openxmlformats.org/officeDocument/2006/relationships/hyperlink" Target="https://scholar.google.com.br/citations?hl=en&amp;view_op=list_hcore&amp;venue=J2WvLRIhE6UJ.2024" TargetMode="External"/><Relationship Id="rId55" Type="http://schemas.openxmlformats.org/officeDocument/2006/relationships/hyperlink" Target="https://dblp.org/db/conf/icpp/index.html" TargetMode="External"/><Relationship Id="rId54" Type="http://schemas.openxmlformats.org/officeDocument/2006/relationships/hyperlink" Target="https://scholar.google.com.br/citations?hl=en&amp;view_op=list_hcore&amp;venue=x2Xq7JEL5msJ.2024" TargetMode="External"/><Relationship Id="rId57" Type="http://schemas.openxmlformats.org/officeDocument/2006/relationships/hyperlink" Target="https://dblp.org/db/conf/ispdc/index.html" TargetMode="External"/><Relationship Id="rId56" Type="http://schemas.openxmlformats.org/officeDocument/2006/relationships/hyperlink" Target="https://scholar.google.com.br/citations?hl=en&amp;view_op=list_hcore&amp;venue=BZK2l1JW2UsJ.2024" TargetMode="External"/><Relationship Id="rId59" Type="http://schemas.openxmlformats.org/officeDocument/2006/relationships/hyperlink" Target="https://dblp.org/db/conf/latw/index.html" TargetMode="External"/><Relationship Id="rId58" Type="http://schemas.openxmlformats.org/officeDocument/2006/relationships/hyperlink" Target="https://scholar.google.com.br/citations?hl=en&amp;view_op=list_hcore&amp;venue=IdSNHXeKP5gJ.2024" TargetMode="External"/></Relationships>
</file>

<file path=xl/worksheets/_rels/sheet11.xml.rels><?xml version="1.0" encoding="UTF-8" standalone="yes"?><Relationships xmlns="http://schemas.openxmlformats.org/package/2006/relationships"><Relationship Id="rId40" Type="http://schemas.openxmlformats.org/officeDocument/2006/relationships/hyperlink" Target="https://dblp.org/db/conf/promise/index.html" TargetMode="External"/><Relationship Id="rId190" Type="http://schemas.openxmlformats.org/officeDocument/2006/relationships/hyperlink" Target="https://dblp.org/db/conf/ACISicis/index.html" TargetMode="External"/><Relationship Id="rId42" Type="http://schemas.openxmlformats.org/officeDocument/2006/relationships/hyperlink" Target="https://dblp.org/db/conf/vem/index.html" TargetMode="External"/><Relationship Id="rId41" Type="http://schemas.openxmlformats.org/officeDocument/2006/relationships/hyperlink" Target="https://scholar.google.com/scholar?q=source%3AWorkshop+source%3AVisualiza%C3%A7%C3%A3o+source%3AEvolu%C3%A7%C3%A3o+source%3AManuten%C3%A7%C3%A3o+source%3ASoftware&amp;hl=pt-BR&amp;as_sdt=0%2C5&amp;as_ylo=2020&amp;as_yhi=2024" TargetMode="External"/><Relationship Id="rId44" Type="http://schemas.openxmlformats.org/officeDocument/2006/relationships/hyperlink" Target="https://dblp.org/db/conf/profes/index.html" TargetMode="External"/><Relationship Id="rId194" Type="http://schemas.openxmlformats.org/officeDocument/2006/relationships/hyperlink" Target="https://dblp.org/db/conf/clei/index.html" TargetMode="External"/><Relationship Id="rId43" Type="http://schemas.openxmlformats.org/officeDocument/2006/relationships/hyperlink" Target="https://scholar.google.com/citations?hl=en&amp;view_op=list_hcore&amp;venue=FQXvEi7Xod4J.2024" TargetMode="External"/><Relationship Id="rId193" Type="http://schemas.openxmlformats.org/officeDocument/2006/relationships/hyperlink" Target="https://scholar.google.com.br/citations?hl=pt-PT&amp;view_op=list_hcore&amp;venue=ThEGj_a76ZUJ.2024" TargetMode="External"/><Relationship Id="rId46" Type="http://schemas.openxmlformats.org/officeDocument/2006/relationships/hyperlink" Target="https://dblp.org/db/conf/refsq/index.html" TargetMode="External"/><Relationship Id="rId192" Type="http://schemas.openxmlformats.org/officeDocument/2006/relationships/hyperlink" Target="https://dblp.org/db/conf/vl/index.html" TargetMode="External"/><Relationship Id="rId45" Type="http://schemas.openxmlformats.org/officeDocument/2006/relationships/hyperlink" Target="https://scholar.google.com/citations?hl=en&amp;view_op=list_hcore&amp;venue=VATFw1qhessJ.2024" TargetMode="External"/><Relationship Id="rId191" Type="http://schemas.openxmlformats.org/officeDocument/2006/relationships/hyperlink" Target="https://scholar.google.com/citations?hl=en&amp;view_op=list_hcore&amp;venue=PDH_h8gpFWsJ.2024" TargetMode="External"/><Relationship Id="rId48" Type="http://schemas.openxmlformats.org/officeDocument/2006/relationships/hyperlink" Target="https://dblp.org/db/conf/esem/index.html" TargetMode="External"/><Relationship Id="rId187" Type="http://schemas.openxmlformats.org/officeDocument/2006/relationships/hyperlink" Target="https://dblp.org/db/conf/sbsi/index.html" TargetMode="External"/><Relationship Id="rId47" Type="http://schemas.openxmlformats.org/officeDocument/2006/relationships/hyperlink" Target="https://scholar.google.com/citations?hl=en&amp;view_op=list_hcore&amp;venue=TWG2GULnchAJ.2024" TargetMode="External"/><Relationship Id="rId186" Type="http://schemas.openxmlformats.org/officeDocument/2006/relationships/hyperlink" Target="https://scholar.google.com/citations?hl=en&amp;view_op=list_hcore&amp;venue=Uj60OIiJKkQJ.2024" TargetMode="External"/><Relationship Id="rId185" Type="http://schemas.openxmlformats.org/officeDocument/2006/relationships/hyperlink" Target="https://dblp.org/db/conf/hicss/index.html" TargetMode="External"/><Relationship Id="rId49" Type="http://schemas.openxmlformats.org/officeDocument/2006/relationships/hyperlink" Target="https://scholar.google.com/citations?hl=en&amp;view_op=list_hcore&amp;venue=fkF-UcrzbCsJ.2024" TargetMode="External"/><Relationship Id="rId184" Type="http://schemas.openxmlformats.org/officeDocument/2006/relationships/hyperlink" Target="https://scholar.google.com/citations?hl=en&amp;view_op=list_hcore&amp;venue=6wBd043QhTIJ.2024" TargetMode="External"/><Relationship Id="rId189" Type="http://schemas.openxmlformats.org/officeDocument/2006/relationships/hyperlink" Target="https://scholar.google.com/citations?hl=en&amp;view_op=list_hcore&amp;venue=QvuNH62riE0J.2024" TargetMode="External"/><Relationship Id="rId188" Type="http://schemas.openxmlformats.org/officeDocument/2006/relationships/hyperlink" Target="https://sol.sbc.org.br/index.php/sbsi" TargetMode="External"/><Relationship Id="rId31" Type="http://schemas.openxmlformats.org/officeDocument/2006/relationships/hyperlink" Target="https://dblp.org/db/conf/cibse/index.html" TargetMode="External"/><Relationship Id="rId30" Type="http://schemas.openxmlformats.org/officeDocument/2006/relationships/hyperlink" Target="https://scholar.google.com/citations?hl=en&amp;view_op=list_hcore&amp;venue=Jh0oWyA5hnEJ.2024" TargetMode="External"/><Relationship Id="rId33" Type="http://schemas.openxmlformats.org/officeDocument/2006/relationships/hyperlink" Target="https://scholar.google.com/citations?hl=en&amp;view_op=list_hcore&amp;venue=m0WHmETFb4sJ.2024" TargetMode="External"/><Relationship Id="rId183" Type="http://schemas.openxmlformats.org/officeDocument/2006/relationships/hyperlink" Target="https://dblp.org/db/conf/caise/index.html" TargetMode="External"/><Relationship Id="rId32" Type="http://schemas.openxmlformats.org/officeDocument/2006/relationships/hyperlink" Target="https://sol.sbc.org.br/index.php/cibse" TargetMode="External"/><Relationship Id="rId182" Type="http://schemas.openxmlformats.org/officeDocument/2006/relationships/hyperlink" Target="https://scholar.google.com/citations?hl=en&amp;view_op=list_hcore&amp;venue=5PSS5xHm_KwJ.2024" TargetMode="External"/><Relationship Id="rId35" Type="http://schemas.openxmlformats.org/officeDocument/2006/relationships/hyperlink" Target="https://scholar.google.com/scholar?q=source%3AInternational+source%3AConference+source%3Aon+source%3ATechnical+source%3ADebt&amp;hl=pt-BR&amp;as_sdt=0%2C5&amp;as_ylo=2020&amp;as_yhi=2024" TargetMode="External"/><Relationship Id="rId181" Type="http://schemas.openxmlformats.org/officeDocument/2006/relationships/hyperlink" Target="https://dblp.org/db/conf/er/index.html" TargetMode="External"/><Relationship Id="rId34" Type="http://schemas.openxmlformats.org/officeDocument/2006/relationships/hyperlink" Target="https://dblp.org/db/conf/scam/index.html" TargetMode="External"/><Relationship Id="rId180" Type="http://schemas.openxmlformats.org/officeDocument/2006/relationships/hyperlink" Target="https://scholar.google.com/citations?hl=en&amp;view_op=list_hcore&amp;venue=wB6WaEpFlvgJ.2024" TargetMode="External"/><Relationship Id="rId37" Type="http://schemas.openxmlformats.org/officeDocument/2006/relationships/hyperlink" Target="https://scholar.google.com/scholar?q=ICSE-SEIS&amp;hl=pt-BR&amp;as_sdt=0%2C5&amp;as_ylo=2020&amp;as_yhi=2024" TargetMode="External"/><Relationship Id="rId176" Type="http://schemas.openxmlformats.org/officeDocument/2006/relationships/hyperlink" Target="https://scholar.google.com/citations?hl=en&amp;view_op=list_hcore&amp;venue=QHz4g2YxOYgJ.2024" TargetMode="External"/><Relationship Id="rId36" Type="http://schemas.openxmlformats.org/officeDocument/2006/relationships/hyperlink" Target="https://dblp.org/db/conf/icse/techdebt2022.html" TargetMode="External"/><Relationship Id="rId175" Type="http://schemas.openxmlformats.org/officeDocument/2006/relationships/hyperlink" Target="https://dblp.org/db/conf/rcis/index.html" TargetMode="External"/><Relationship Id="rId39" Type="http://schemas.openxmlformats.org/officeDocument/2006/relationships/hyperlink" Target="https://scholar.google.com/scholar?q=source%3AInternational+source%3AConference+source%3Aon+source%3APredictive+source%3AModels+source%3Ain+source%3ASoftware+source%3AEngineering&amp;hl=en&amp;as_sdt=0%2C3&amp;as_ylo=2020&amp;as_yhi=2024" TargetMode="External"/><Relationship Id="rId174" Type="http://schemas.openxmlformats.org/officeDocument/2006/relationships/hyperlink" Target="https://scholar.google.com/citations?hl=en&amp;view_op=list_hcore&amp;venue=yxUYnK6YD7QJ.2024" TargetMode="External"/><Relationship Id="rId38" Type="http://schemas.openxmlformats.org/officeDocument/2006/relationships/hyperlink" Target="https://dblp.org/db/conf/icse/index.html" TargetMode="External"/><Relationship Id="rId173" Type="http://schemas.openxmlformats.org/officeDocument/2006/relationships/hyperlink" Target="https://sol.sbc.org.br/index.php/sbmf" TargetMode="External"/><Relationship Id="rId179" Type="http://schemas.openxmlformats.org/officeDocument/2006/relationships/hyperlink" Target="https://dblp.org/db/conf/oopsla/index.html" TargetMode="External"/><Relationship Id="rId178" Type="http://schemas.openxmlformats.org/officeDocument/2006/relationships/hyperlink" Target="https://scholar.google.com/citations?hl=en&amp;view_op=list_hcore&amp;venue=aabcDmqMOP8J.2024" TargetMode="External"/><Relationship Id="rId177" Type="http://schemas.openxmlformats.org/officeDocument/2006/relationships/hyperlink" Target="https://dblp.org/db/conf/ecoop/index.html" TargetMode="External"/><Relationship Id="rId20" Type="http://schemas.openxmlformats.org/officeDocument/2006/relationships/hyperlink" Target="https://sol.sbc.org.br/index.php/sbcars" TargetMode="External"/><Relationship Id="rId22" Type="http://schemas.openxmlformats.org/officeDocument/2006/relationships/hyperlink" Target="https://dblp.org/db/conf/sast/index.html" TargetMode="External"/><Relationship Id="rId21" Type="http://schemas.openxmlformats.org/officeDocument/2006/relationships/hyperlink" Target="https://scholar.google.com/scholar?q=source%3ABrazilian+source%3ASymposium+source%3Aon+source%3ASystematic+source%3Aand+source%3AAutomated+source%3ASoftware+source%3ATesting&amp;hl=pt-BR&amp;as_sdt=0%2C5&amp;as_ylo=2020&amp;as_yhi=2024" TargetMode="External"/><Relationship Id="rId24" Type="http://schemas.openxmlformats.org/officeDocument/2006/relationships/hyperlink" Target="https://scholar.google.com/scholar?q=source%3AInternational+source%3ACooperative+source%3AHuman+source%3AAspects+source%3ASoftware+source%3AEngineering&amp;hl=pt-BR&amp;as_sdt=0%2C5&amp;as_ylo=2020&amp;as_yhi=2024" TargetMode="External"/><Relationship Id="rId23" Type="http://schemas.openxmlformats.org/officeDocument/2006/relationships/hyperlink" Target="https://sol.sbc.org.br/index.php/sast" TargetMode="External"/><Relationship Id="rId26" Type="http://schemas.openxmlformats.org/officeDocument/2006/relationships/hyperlink" Target="https://scholar.google.com/scholar?q=source%3AInternational+source%3AWorkshop+source%3AVariability+source%3AModelling+source%3ASoftware-intensive+source%3ASystems&amp;hl=pt-BR&amp;as_sdt=0%2C5&amp;as_ylo=2019&amp;as_yhi=2023" TargetMode="External"/><Relationship Id="rId25" Type="http://schemas.openxmlformats.org/officeDocument/2006/relationships/hyperlink" Target="https://dblp.org/db/conf/icse-chase/index.html" TargetMode="External"/><Relationship Id="rId28" Type="http://schemas.openxmlformats.org/officeDocument/2006/relationships/hyperlink" Target="https://scholar.google.com/citations?hl=en&amp;view_op=list_hcore&amp;venue=OEzTeItQGVAJ.2024" TargetMode="External"/><Relationship Id="rId27" Type="http://schemas.openxmlformats.org/officeDocument/2006/relationships/hyperlink" Target="https://dblp.org/db/conf/vamos/index.html" TargetMode="External"/><Relationship Id="rId29" Type="http://schemas.openxmlformats.org/officeDocument/2006/relationships/hyperlink" Target="https://dblp.org/db/conf/wer/index.html" TargetMode="External"/><Relationship Id="rId11" Type="http://schemas.openxmlformats.org/officeDocument/2006/relationships/hyperlink" Target="https://scholar.google.com/citations?hl=en&amp;view_op=list_hcore&amp;venue=rYWnDlpKBukJ.2024" TargetMode="External"/><Relationship Id="rId10" Type="http://schemas.openxmlformats.org/officeDocument/2006/relationships/hyperlink" Target="https://dblp.org/db/conf/wcre/index.html" TargetMode="External"/><Relationship Id="rId13" Type="http://schemas.openxmlformats.org/officeDocument/2006/relationships/hyperlink" Target="https://scholar.google.com/citations?hl=en&amp;view_op=list_hcore&amp;venue=rXEm9Hzg5P8J.2024" TargetMode="External"/><Relationship Id="rId12" Type="http://schemas.openxmlformats.org/officeDocument/2006/relationships/hyperlink" Target="https://dblp.org/db/conf/icsm/index.html" TargetMode="External"/><Relationship Id="rId15" Type="http://schemas.openxmlformats.org/officeDocument/2006/relationships/hyperlink" Target="https://sol.sbc.org.br/index.php/sbes" TargetMode="External"/><Relationship Id="rId14" Type="http://schemas.openxmlformats.org/officeDocument/2006/relationships/hyperlink" Target="https://dblp.org/db/conf/sbes/index.html" TargetMode="External"/><Relationship Id="rId17" Type="http://schemas.openxmlformats.org/officeDocument/2006/relationships/hyperlink" Target="https://dblp.org/db/conf/sbqs/index.html" TargetMode="External"/><Relationship Id="rId16" Type="http://schemas.openxmlformats.org/officeDocument/2006/relationships/hyperlink" Target="https://scholar.google.com.br/citations?hl=pt-BR&amp;authuser=1&amp;view_op=list_hcore&amp;venue=21lpMhOn5OMJ.2024" TargetMode="External"/><Relationship Id="rId195" Type="http://schemas.openxmlformats.org/officeDocument/2006/relationships/drawing" Target="../drawings/drawing11.xml"/><Relationship Id="rId19" Type="http://schemas.openxmlformats.org/officeDocument/2006/relationships/hyperlink" Target="https://dblp.org/db/conf/sbcars/index.html" TargetMode="External"/><Relationship Id="rId18" Type="http://schemas.openxmlformats.org/officeDocument/2006/relationships/hyperlink" Target="https://scholar.google.com/scholar?q=source%3ABrazilian+source%3ASymposium+source%3Aon+source%3ASoftware+source%3AComponents+source%3AArchitectures+source%3Aand+source%3AReuse&amp;hl=pt-BR&amp;as_sdt=0%2C5&amp;as_ylo=2020&amp;as_yhi=2024" TargetMode="External"/><Relationship Id="rId84" Type="http://schemas.openxmlformats.org/officeDocument/2006/relationships/hyperlink" Target="https://dblp.org/db/conf/mobilesoft/index.html" TargetMode="External"/><Relationship Id="rId83" Type="http://schemas.openxmlformats.org/officeDocument/2006/relationships/hyperlink" Target="https://scholar.google.com/scholar?q=source%3AInternational+source%3AConference+source%3Aon+source%3AMobile+source%3ASoftware+source%3AEngineering+source%3Aand+source%3ASystems&amp;hl=pt-BR&amp;as_sdt=0%2C5&amp;as_ylo=2020&amp;as_yhi=2024" TargetMode="External"/><Relationship Id="rId86" Type="http://schemas.openxmlformats.org/officeDocument/2006/relationships/hyperlink" Target="https://dblp.org/db/conf/csee/index.html" TargetMode="External"/><Relationship Id="rId85" Type="http://schemas.openxmlformats.org/officeDocument/2006/relationships/hyperlink" Target="https://scholar.google.com/scholar?q=source%3AConference+source%3ASoftware+source%3AEngineering+source%3AEducation+source%3ATraining+source%3ACSEE%26T&amp;hl=pt-BR&amp;as_sdt=0%2C5&amp;as_ylo=2020&amp;as_yhi=2024" TargetMode="External"/><Relationship Id="rId88" Type="http://schemas.openxmlformats.org/officeDocument/2006/relationships/hyperlink" Target="https://dblp.org/db/conf/icse/index.html" TargetMode="External"/><Relationship Id="rId150" Type="http://schemas.openxmlformats.org/officeDocument/2006/relationships/hyperlink" Target="https://dblp.org/db/conf/pts/index.html" TargetMode="External"/><Relationship Id="rId87" Type="http://schemas.openxmlformats.org/officeDocument/2006/relationships/hyperlink" Target="https://scholar.google.com/citations?hl=en&amp;view_op=list_hcore&amp;venue=yIZ19I9U66oJ.2024" TargetMode="External"/><Relationship Id="rId89" Type="http://schemas.openxmlformats.org/officeDocument/2006/relationships/hyperlink" Target="https://scholar.google.com/citations?hl=en&amp;view_op=list_hcore&amp;venue=BlizIY9N_gYJ.2024" TargetMode="External"/><Relationship Id="rId80" Type="http://schemas.openxmlformats.org/officeDocument/2006/relationships/hyperlink" Target="https://dblp.org/db/conf/seams/index.html" TargetMode="External"/><Relationship Id="rId82" Type="http://schemas.openxmlformats.org/officeDocument/2006/relationships/hyperlink" Target="https://dblp.org/db/conf/swqd/index.html" TargetMode="External"/><Relationship Id="rId81" Type="http://schemas.openxmlformats.org/officeDocument/2006/relationships/hyperlink" Target="https://scholar.google.com/scholar?q=source%3AInternational+source%3Aconference+source%3Aon+source%3ASoftware+source%3AQuality&amp;hl=pt-BR&amp;as_sdt=0%2C5&amp;as_ylo=2020&amp;as_yhi=2024" TargetMode="External"/><Relationship Id="rId1" Type="http://schemas.openxmlformats.org/officeDocument/2006/relationships/hyperlink" Target="https://scholar.google.com/citations?hl=en&amp;view_op=list_hcore&amp;venue=vtDF2hFAQ-cJ.2024" TargetMode="External"/><Relationship Id="rId2" Type="http://schemas.openxmlformats.org/officeDocument/2006/relationships/hyperlink" Target="https://dblp.org/db/conf/icse/index.html" TargetMode="External"/><Relationship Id="rId3" Type="http://schemas.openxmlformats.org/officeDocument/2006/relationships/hyperlink" Target="https://scholar.google.com/citations?hl=en&amp;view_op=list_hcore&amp;venue=CwfZO4J4a4UJ.2024" TargetMode="External"/><Relationship Id="rId149" Type="http://schemas.openxmlformats.org/officeDocument/2006/relationships/hyperlink" Target="https://scholar.google.com/scholar?hl=pt-BR&amp;as_sdt=0%2C5&amp;as_ylo=2020&amp;as_yhi=2024&amp;q=source%3AInternational+source%3AConference++source%3ATesting+Software+source%3Aand+source%3ASystems&amp;btnG=" TargetMode="External"/><Relationship Id="rId4" Type="http://schemas.openxmlformats.org/officeDocument/2006/relationships/hyperlink" Target="https://dblp.org/db/conf/esec/index.html" TargetMode="External"/><Relationship Id="rId148" Type="http://schemas.openxmlformats.org/officeDocument/2006/relationships/hyperlink" Target="https://dblp.org/db/conf/cain/index.html" TargetMode="External"/><Relationship Id="rId9" Type="http://schemas.openxmlformats.org/officeDocument/2006/relationships/hyperlink" Target="https://scholar.google.com/citations?hl=en&amp;view_op=list_hcore&amp;venue=KigRzjvnEC0J.2024" TargetMode="External"/><Relationship Id="rId143" Type="http://schemas.openxmlformats.org/officeDocument/2006/relationships/hyperlink" Target="https://scholar.google.com.br/scholar?q=source%3AWorkshop+source%3Aon+source%3ADistributed+source%3ASoftware+source%3ADevelopment&amp;hl=pt-BR&amp;as_sdt=0%2C5&amp;as_ylo=2020&amp;as_yhi=2024" TargetMode="External"/><Relationship Id="rId142" Type="http://schemas.openxmlformats.org/officeDocument/2006/relationships/hyperlink" Target="https://dblp.org/db/conf/serip-ws/index.html" TargetMode="External"/><Relationship Id="rId141" Type="http://schemas.openxmlformats.org/officeDocument/2006/relationships/hyperlink" Target="https://scholar.google.com/scholar?q=source%3AInternational+source%3AWorkshop+source%3Aon+source%3ASoftware+source%3AEngineering+source%3AResearch+source%3Aand+source%3AIndustrial+source%3APractice&amp;hl=pt-BR&amp;as_sdt=0%2C5&amp;as_ylo=2020&amp;as_yhi=2024" TargetMode="External"/><Relationship Id="rId140" Type="http://schemas.openxmlformats.org/officeDocument/2006/relationships/hyperlink" Target="https://dblp.org/db/conf/istar/index.html" TargetMode="External"/><Relationship Id="rId5" Type="http://schemas.openxmlformats.org/officeDocument/2006/relationships/hyperlink" Target="https://scholar.google.com/citations?hl=en&amp;view_op=list_hcore&amp;venue=0NzweKVXmpkJ.2024" TargetMode="External"/><Relationship Id="rId147" Type="http://schemas.openxmlformats.org/officeDocument/2006/relationships/hyperlink" Target="https://scholar.google.com/scholar?q=source%3Ainternational+source%3AConference+source%3Aon+source%3AAI+source%3AEngineering&amp;hl=pt-BR&amp;as_sdt=0%2C5&amp;as_ylo=2020&amp;as_yhi=2024" TargetMode="External"/><Relationship Id="rId6" Type="http://schemas.openxmlformats.org/officeDocument/2006/relationships/hyperlink" Target="https://dblp.org/db/conf/kbse/index.html" TargetMode="External"/><Relationship Id="rId146" Type="http://schemas.openxmlformats.org/officeDocument/2006/relationships/hyperlink" Target="https://dblp.org/db/conf/wbma/index.html" TargetMode="External"/><Relationship Id="rId7" Type="http://schemas.openxmlformats.org/officeDocument/2006/relationships/hyperlink" Target="https://scholar.google.com/citations?hl=en&amp;view_op=list_hcore&amp;venue=XpB0TY0OXkoJ.2024" TargetMode="External"/><Relationship Id="rId145" Type="http://schemas.openxmlformats.org/officeDocument/2006/relationships/hyperlink" Target="https://scholar.google.com/scholar?q=source%3ABrazilian+source%3AWorkshop+source%3AAgile+source%3AMethods&amp;hl=pt-BR&amp;as_sdt=0%2C5&amp;as_ylo=2020&amp;as_yhi=2024" TargetMode="External"/><Relationship Id="rId8" Type="http://schemas.openxmlformats.org/officeDocument/2006/relationships/hyperlink" Target="https://dblp.org/db/conf/msr/index.html" TargetMode="External"/><Relationship Id="rId144" Type="http://schemas.openxmlformats.org/officeDocument/2006/relationships/hyperlink" Target="https://dblp.org/db/conf/sessos/index.html" TargetMode="External"/><Relationship Id="rId73" Type="http://schemas.openxmlformats.org/officeDocument/2006/relationships/hyperlink" Target="https://scholar.google.com/citations?hl=en&amp;view_op=list_hcore&amp;venue=jk7nbKX2c8EJ.2024" TargetMode="External"/><Relationship Id="rId72" Type="http://schemas.openxmlformats.org/officeDocument/2006/relationships/hyperlink" Target="https://dblp.org/db/conf/splc/index.html" TargetMode="External"/><Relationship Id="rId75" Type="http://schemas.openxmlformats.org/officeDocument/2006/relationships/hyperlink" Target="https://scholar.google.com/citations?hl=en&amp;view_op=list_hcore&amp;venue=hbCKVuECYrEJ.2024" TargetMode="External"/><Relationship Id="rId74" Type="http://schemas.openxmlformats.org/officeDocument/2006/relationships/hyperlink" Target="https://dblp.org/db/conf/ease/index.html" TargetMode="External"/><Relationship Id="rId77" Type="http://schemas.openxmlformats.org/officeDocument/2006/relationships/hyperlink" Target="https://scholar.google.com/citations?hl=en&amp;view_op=list_hcore&amp;venue=zsGWp1QJr3AJ.2024" TargetMode="External"/><Relationship Id="rId76" Type="http://schemas.openxmlformats.org/officeDocument/2006/relationships/hyperlink" Target="https://dblp.org/db/conf/ecsa/index.html" TargetMode="External"/><Relationship Id="rId79" Type="http://schemas.openxmlformats.org/officeDocument/2006/relationships/hyperlink" Target="https://scholar.google.com/citations?hl=en&amp;view_op=list_hcore&amp;venue=-CeAPmbJYRoJ.2024" TargetMode="External"/><Relationship Id="rId78" Type="http://schemas.openxmlformats.org/officeDocument/2006/relationships/hyperlink" Target="https://dblp.org/db/conf/iceis/index.html" TargetMode="External"/><Relationship Id="rId71" Type="http://schemas.openxmlformats.org/officeDocument/2006/relationships/hyperlink" Target="https://scholar.google.com/citations?hl=en&amp;view_op=list_hcore&amp;venue=d7uBCzQUspcJ.2024" TargetMode="External"/><Relationship Id="rId70" Type="http://schemas.openxmlformats.org/officeDocument/2006/relationships/hyperlink" Target="https://dblp.org/db/conf/wosp/index.html" TargetMode="External"/><Relationship Id="rId139" Type="http://schemas.openxmlformats.org/officeDocument/2006/relationships/hyperlink" Target="https://scholar.google.com/scholar?hl=pt-BR&amp;as_sdt=0%2C5&amp;as_ylo=2020&amp;as_yhi=2024&amp;q=source%3Aistar&amp;btnG=" TargetMode="External"/><Relationship Id="rId138" Type="http://schemas.openxmlformats.org/officeDocument/2006/relationships/hyperlink" Target="https://dblp.org/rec/conf/re/2023w.html" TargetMode="External"/><Relationship Id="rId137" Type="http://schemas.openxmlformats.org/officeDocument/2006/relationships/hyperlink" Target="https://scholar.google.com/scholar?hl=pt-BR&amp;as_sdt=0%2C5&amp;as_ylo=2020&amp;as_yhi=2024&amp;q=source%3AInternational+source%3ARequirements+source%3AEngineering+source%3AConference+source%3AWorkshops+source%3AREW&amp;btnG=" TargetMode="External"/><Relationship Id="rId132" Type="http://schemas.openxmlformats.org/officeDocument/2006/relationships/hyperlink" Target="https://dblp.org/db/conf/icsob/index.html" TargetMode="External"/><Relationship Id="rId131" Type="http://schemas.openxmlformats.org/officeDocument/2006/relationships/hyperlink" Target="https://scholar.google.com/citations?hl=en&amp;view_op=list_hcore&amp;venue=lySJ7rWrE4EJ.2024" TargetMode="External"/><Relationship Id="rId130" Type="http://schemas.openxmlformats.org/officeDocument/2006/relationships/hyperlink" Target="https://dblp.org/db/conf/sle/index.html" TargetMode="External"/><Relationship Id="rId136" Type="http://schemas.openxmlformats.org/officeDocument/2006/relationships/hyperlink" Target="https://dblp.org/db/conf/sessos/index.html" TargetMode="External"/><Relationship Id="rId135" Type="http://schemas.openxmlformats.org/officeDocument/2006/relationships/hyperlink" Target="https://scholar.google.com/scholar?q=source%3AInternational+source%3AWorkshop+source%3Aon+source%3ASoftware+source%3AEngineering+source%3Afor+source%3ASystems-of-Systems&amp;hl=pt-BR&amp;as_sdt=0%2C5&amp;as_ylo=2020&amp;as_yhi=2024" TargetMode="External"/><Relationship Id="rId134" Type="http://schemas.openxmlformats.org/officeDocument/2006/relationships/hyperlink" Target="https://dblp.org/db/conf/gpce/index.html" TargetMode="External"/><Relationship Id="rId133" Type="http://schemas.openxmlformats.org/officeDocument/2006/relationships/hyperlink" Target="https://scholar.google.com/scholar?q=source%3AInternational+source%3AConference+source%3AGenerative+source%3AProgramming+source%3AConcepts+source%3AExperiences&amp;hl=pt-BR&amp;as_sdt=0%2C5&amp;as_ylo=2020&amp;as_yhi=2024" TargetMode="External"/><Relationship Id="rId62" Type="http://schemas.openxmlformats.org/officeDocument/2006/relationships/hyperlink" Target="https://dblp.org/db/conf/issta/index.html" TargetMode="External"/><Relationship Id="rId61" Type="http://schemas.openxmlformats.org/officeDocument/2006/relationships/hyperlink" Target="https://scholar.google.com/citations?hl=en&amp;view_op=list_hcore&amp;venue=llVusf8drOoJ.2024" TargetMode="External"/><Relationship Id="rId64" Type="http://schemas.openxmlformats.org/officeDocument/2006/relationships/hyperlink" Target="https://dblp.org/db/conf/iwpc/index.html" TargetMode="External"/><Relationship Id="rId63" Type="http://schemas.openxmlformats.org/officeDocument/2006/relationships/hyperlink" Target="https://scholar.google.com/citations?hl=en&amp;view_op=list_hcore&amp;venue=Q7aNVRgyGrYJ.2024" TargetMode="External"/><Relationship Id="rId66" Type="http://schemas.openxmlformats.org/officeDocument/2006/relationships/hyperlink" Target="https://dblp.org/db/conf/icst/index.html" TargetMode="External"/><Relationship Id="rId172" Type="http://schemas.openxmlformats.org/officeDocument/2006/relationships/hyperlink" Target="https://dblp.org/db/conf/sbmf/index.html" TargetMode="External"/><Relationship Id="rId65" Type="http://schemas.openxmlformats.org/officeDocument/2006/relationships/hyperlink" Target="https://scholar.google.com/citations?hl=en&amp;view_op=list_hcore&amp;venue=DQUq5mthvPAJ.2024" TargetMode="External"/><Relationship Id="rId171" Type="http://schemas.openxmlformats.org/officeDocument/2006/relationships/hyperlink" Target="https://scholar.google.com/scholar?hl=pt-BR&amp;as_sdt=0%2C5&amp;as_ylo=2020&amp;as_yhi=2024&amp;q=source%3ABrazilian+source%3ASymposium+on+source%3AFormal+source%3AMethods&amp;btnG=" TargetMode="External"/><Relationship Id="rId68" Type="http://schemas.openxmlformats.org/officeDocument/2006/relationships/hyperlink" Target="https://dblp.org/db/conf/sac/index.html" TargetMode="External"/><Relationship Id="rId170" Type="http://schemas.openxmlformats.org/officeDocument/2006/relationships/hyperlink" Target="https://sol.sbc.org.br/index.php/washes/issue/archive" TargetMode="External"/><Relationship Id="rId67" Type="http://schemas.openxmlformats.org/officeDocument/2006/relationships/hyperlink" Target="https://scholar.google.com.br/citations?hl=pt-BR&amp;authuser=1&amp;view_op=list_hcore&amp;venue=eLhWa3qzEDsJ.2024" TargetMode="External"/><Relationship Id="rId60" Type="http://schemas.openxmlformats.org/officeDocument/2006/relationships/hyperlink" Target="https://dblp.org/db/conf/euromicro/index.html" TargetMode="External"/><Relationship Id="rId165" Type="http://schemas.openxmlformats.org/officeDocument/2006/relationships/hyperlink" Target="https://scholar.google.com/citations?hl=en&amp;view_op=list_hcore&amp;venue=4diVe5BwiNAJ.2024" TargetMode="External"/><Relationship Id="rId69" Type="http://schemas.openxmlformats.org/officeDocument/2006/relationships/hyperlink" Target="https://scholar.google.com/citations?hl=en&amp;view_op=list_hcore&amp;venue=nS824tflG3QJ.2024" TargetMode="External"/><Relationship Id="rId164" Type="http://schemas.openxmlformats.org/officeDocument/2006/relationships/hyperlink" Target="https://sol.sbc.org.br/index.php/latinoware/issue/archive" TargetMode="External"/><Relationship Id="rId163" Type="http://schemas.openxmlformats.org/officeDocument/2006/relationships/hyperlink" Target="https://scholar.google.com/citations?hl=en&amp;view_op=list_hcore&amp;venue=TDrrbM20a5oJ.2024" TargetMode="External"/><Relationship Id="rId162" Type="http://schemas.openxmlformats.org/officeDocument/2006/relationships/hyperlink" Target="https://sol.sbc.org.br/index.php/opensciense/issue/archive" TargetMode="External"/><Relationship Id="rId169" Type="http://schemas.openxmlformats.org/officeDocument/2006/relationships/hyperlink" Target="https://scholar.google.com/scholar?q=source%3AWorkshop+source%3Asobre+source%3AAspectos+source%3ASociais+source%3AHumanos+source%3Ae+source%3AEcon%C3%B4micos+source%3Ade+source%3ASoftware&amp;hl=pt-BR&amp;as_sdt=0%2C5&amp;as_ylo=2020&amp;as_yhi=2024" TargetMode="External"/><Relationship Id="rId168" Type="http://schemas.openxmlformats.org/officeDocument/2006/relationships/hyperlink" Target="https://dblp.org/db/conf/aiware/index.html" TargetMode="External"/><Relationship Id="rId167" Type="http://schemas.openxmlformats.org/officeDocument/2006/relationships/hyperlink" Target="https://scholar.google.com/scholar?hl=pt-BR&amp;as_sdt=0%2C5&amp;q=source%3AACM+source%3AInternational+source%3AConference+on+source%3AAI-powered+source%3ASoftware&amp;btnG=" TargetMode="External"/><Relationship Id="rId166" Type="http://schemas.openxmlformats.org/officeDocument/2006/relationships/hyperlink" Target="https://dblp.org/db/conf/qrs/index.html" TargetMode="External"/><Relationship Id="rId51" Type="http://schemas.openxmlformats.org/officeDocument/2006/relationships/hyperlink" Target="https://scholar.google.com/citations?hl=en&amp;view_op=list_hcore&amp;venue=7pDaek0315EJ.2024" TargetMode="External"/><Relationship Id="rId50" Type="http://schemas.openxmlformats.org/officeDocument/2006/relationships/hyperlink" Target="https://dblp.org/db/conf/re/index.html" TargetMode="External"/><Relationship Id="rId53" Type="http://schemas.openxmlformats.org/officeDocument/2006/relationships/hyperlink" Target="https://scholar.google.com/citations?hl=en&amp;view_op=list_hcore&amp;venue=3ppqdCDVTskJ.2024" TargetMode="External"/><Relationship Id="rId52" Type="http://schemas.openxmlformats.org/officeDocument/2006/relationships/hyperlink" Target="https://dblp.org/db/conf/icsa/index.html" TargetMode="External"/><Relationship Id="rId55" Type="http://schemas.openxmlformats.org/officeDocument/2006/relationships/hyperlink" Target="https://scholar.google.com/citations?hl=en&amp;view_op=list_hcore&amp;venue=CWzNub7mXWkJ.2024" TargetMode="External"/><Relationship Id="rId161" Type="http://schemas.openxmlformats.org/officeDocument/2006/relationships/hyperlink" Target="https://scholar.google.com/scholar?q=source%3AWorkshop+source%3APr%C3%A1ticas+source%3ACi%C3%AAncia+source%3AAberta+source%3AEngenharia+de+Software%21&amp;hl=pt-BR&amp;as_sdt=0%2C5&amp;as_ylo=2020&amp;as_yhi=2024" TargetMode="External"/><Relationship Id="rId54" Type="http://schemas.openxmlformats.org/officeDocument/2006/relationships/hyperlink" Target="https://dblp.org/db/conf/models/index.html" TargetMode="External"/><Relationship Id="rId160" Type="http://schemas.openxmlformats.org/officeDocument/2006/relationships/hyperlink" Target="https://sol.sbc.org.br/index.php/ise/issue/archive" TargetMode="External"/><Relationship Id="rId57" Type="http://schemas.openxmlformats.org/officeDocument/2006/relationships/hyperlink" Target="https://scholar.google.com/citations?hl=en&amp;view_op=list_hcore&amp;venue=xJhIFxijeG8J.2024" TargetMode="External"/><Relationship Id="rId56" Type="http://schemas.openxmlformats.org/officeDocument/2006/relationships/hyperlink" Target="https://dblp.org/db/conf/xpu/index.html" TargetMode="External"/><Relationship Id="rId159" Type="http://schemas.openxmlformats.org/officeDocument/2006/relationships/hyperlink" Target="https://scholar.google.com/scholar?hl=pt-BR&amp;as_sdt=0%2C5&amp;as_ylo=2020&amp;as_yhi=2024&amp;q=source%3AWorkshop+source%3ABrasileiro+source%3AEngenharia+source%3ASoftware+source%3AInteligente&amp;btnG=" TargetMode="External"/><Relationship Id="rId59" Type="http://schemas.openxmlformats.org/officeDocument/2006/relationships/hyperlink" Target="https://scholar.google.com/citations?hl=en&amp;view_op=list_hcore&amp;venue=q4lhGCNkc40J.2024" TargetMode="External"/><Relationship Id="rId154" Type="http://schemas.openxmlformats.org/officeDocument/2006/relationships/hyperlink" Target="https://sol.sbc.org.br/index.php/eres/issue/archive" TargetMode="External"/><Relationship Id="rId58" Type="http://schemas.openxmlformats.org/officeDocument/2006/relationships/hyperlink" Target="https://dblp.org/db/conf/issre/index.html" TargetMode="External"/><Relationship Id="rId153" Type="http://schemas.openxmlformats.org/officeDocument/2006/relationships/hyperlink" Target="https://scholar.google.com/citations?hl=en&amp;view_op=list_hcore&amp;venue=C22vC1PK4EMJ.2024" TargetMode="External"/><Relationship Id="rId152" Type="http://schemas.openxmlformats.org/officeDocument/2006/relationships/hyperlink" Target="https://dblp.org/db/conf/icse-seh/index.html" TargetMode="External"/><Relationship Id="rId151" Type="http://schemas.openxmlformats.org/officeDocument/2006/relationships/hyperlink" Target="https://scholar.google.com/scholar?hl=pt-BR&amp;as_sdt=0%2C5&amp;as_ylo=2020&amp;as_yhi=2024&amp;q=source%3AInternational+source%3AWorkshop+source%3ASoftware+source%3AEngineering+source%3AHealthcare&amp;btnG=" TargetMode="External"/><Relationship Id="rId158" Type="http://schemas.openxmlformats.org/officeDocument/2006/relationships/hyperlink" Target="https://sol.sbc.org.br/index.php/mssis/issue/archive" TargetMode="External"/><Relationship Id="rId157" Type="http://schemas.openxmlformats.org/officeDocument/2006/relationships/hyperlink" Target="https://scholar.google.com/scholar?hl=pt-BR&amp;as_sdt=0%2C5&amp;as_ylo=2020&amp;as_yhi=2024&amp;q=source%3AModelagem+source%3ASimula%C3%A7%C3%A3o+source%3ASistemas+source%3AIntensivos+source%3ASoftware&amp;btnG=" TargetMode="External"/><Relationship Id="rId156" Type="http://schemas.openxmlformats.org/officeDocument/2006/relationships/hyperlink" Target="https://sol.sbc.org.br/index.php/cbsoft" TargetMode="External"/><Relationship Id="rId155" Type="http://schemas.openxmlformats.org/officeDocument/2006/relationships/hyperlink" Target="https://scholar.google.com/citations?hl=en&amp;view_op=search_venues&amp;vq=cbsoft&amp;btnG=" TargetMode="External"/><Relationship Id="rId107" Type="http://schemas.openxmlformats.org/officeDocument/2006/relationships/hyperlink" Target="https://scholar.google.com/scholar?q=source%3AInternational+source%3AConference+source%3AGlobal+source%3ASoftware+source%3AEngineering&amp;hl=pt-BR&amp;as_sdt=0%2C5&amp;as_ylo=2020&amp;as_yhi=2024" TargetMode="External"/><Relationship Id="rId106" Type="http://schemas.openxmlformats.org/officeDocument/2006/relationships/hyperlink" Target="https://dblp.org/db/conf/europlop/index.html" TargetMode="External"/><Relationship Id="rId105" Type="http://schemas.openxmlformats.org/officeDocument/2006/relationships/hyperlink" Target="https://scholar.google.com/citations?hl=en&amp;view_op=list_hcore&amp;venue=G6KgE6kxOP8J.2024" TargetMode="External"/><Relationship Id="rId104" Type="http://schemas.openxmlformats.org/officeDocument/2006/relationships/hyperlink" Target="https://dblp.org/db/conf/ast/index.html" TargetMode="External"/><Relationship Id="rId109" Type="http://schemas.openxmlformats.org/officeDocument/2006/relationships/hyperlink" Target="https://scholar.google.com/citations?hl=en&amp;view_op=list_hcore&amp;venue=JQUkUFehKJAJ.2024" TargetMode="External"/><Relationship Id="rId108" Type="http://schemas.openxmlformats.org/officeDocument/2006/relationships/hyperlink" Target="https://dblp.org/db/conf/icgse/index.html" TargetMode="External"/><Relationship Id="rId103" Type="http://schemas.openxmlformats.org/officeDocument/2006/relationships/hyperlink" Target="https://scholar.google.com/scholar?q=source%3AInternational+source%3Aon+source%3AAutomation+source%3Aof+source%3ASoftware+source%3ATest&amp;hl=en&amp;as_sdt=0%2C3&amp;as_ylo=2020&amp;as_yhi=2024" TargetMode="External"/><Relationship Id="rId102" Type="http://schemas.openxmlformats.org/officeDocument/2006/relationships/hyperlink" Target="https://dblp.org/db/conf/enase/index.html" TargetMode="External"/><Relationship Id="rId101" Type="http://schemas.openxmlformats.org/officeDocument/2006/relationships/hyperlink" Target="https://scholar.google.com/citations?hl=en&amp;view_op=list_hcore&amp;venue=Q2z8twK6gqAJ.2024" TargetMode="External"/><Relationship Id="rId100" Type="http://schemas.openxmlformats.org/officeDocument/2006/relationships/hyperlink" Target="https://dblp.org/db/conf/icwe/index.html" TargetMode="External"/><Relationship Id="rId129" Type="http://schemas.openxmlformats.org/officeDocument/2006/relationships/hyperlink" Target="https://scholar.google.com/scholar?hl=pt-BR&amp;as_sdt=0%2C5&amp;as_ylo=2020&amp;as_yhi=2024&amp;q=source%3AInternational+source%3AConference+source%3ASoftware+source%3ALanguage+source%3AEngineering&amp;btnG=" TargetMode="External"/><Relationship Id="rId128" Type="http://schemas.openxmlformats.org/officeDocument/2006/relationships/hyperlink" Target="https://dblp.org/db/conf/icsr/index.html" TargetMode="External"/><Relationship Id="rId127" Type="http://schemas.openxmlformats.org/officeDocument/2006/relationships/hyperlink" Target="https://scholar.google.com/scholar?q=source%3AInternational+source%3AConference+source%3ASoftware+source%3AReuse&amp;hl=pt-BR&amp;as_sdt=0%2C5&amp;as_ylo=2020&amp;as_yhi=2024" TargetMode="External"/><Relationship Id="rId126" Type="http://schemas.openxmlformats.org/officeDocument/2006/relationships/hyperlink" Target="https://dblp.org/db/conf/icsoft/index.html" TargetMode="External"/><Relationship Id="rId121" Type="http://schemas.openxmlformats.org/officeDocument/2006/relationships/hyperlink" Target="https://scholar.google.com/scholar?q=source%3AInternational+source%3ASymposium+source%3ASearch+source%3ABased+source%3ASoftware+source%3AEngineering&amp;hl=pt-BR&amp;as_sdt=0%2C5&amp;as_ylo=2020&amp;as_yhi=2024" TargetMode="External"/><Relationship Id="rId120" Type="http://schemas.openxmlformats.org/officeDocument/2006/relationships/hyperlink" Target="https://dblp.org/db/conf/quatic/index.html" TargetMode="External"/><Relationship Id="rId125" Type="http://schemas.openxmlformats.org/officeDocument/2006/relationships/hyperlink" Target="https://scholar.google.com/citations?hl=en&amp;view_op=list_hcore&amp;venue=3zneIArE2G0J.2024" TargetMode="External"/><Relationship Id="rId124" Type="http://schemas.openxmlformats.org/officeDocument/2006/relationships/hyperlink" Target="https://dblp.org/db/conf/vissoft/index.html" TargetMode="External"/><Relationship Id="rId123" Type="http://schemas.openxmlformats.org/officeDocument/2006/relationships/hyperlink" Target="https://scholar.google.com/scholar?q=source%3AIEEE+source%3AWorking+source%3AConference+source%3ASoftware+source%3AVisualization&amp;hl=pt-BR&amp;as_sdt=0%2C5&amp;as_ylo=2020&amp;as_yhi=2024" TargetMode="External"/><Relationship Id="rId122" Type="http://schemas.openxmlformats.org/officeDocument/2006/relationships/hyperlink" Target="https://dblp.org/db/conf/ssbse/index.html" TargetMode="External"/><Relationship Id="rId95" Type="http://schemas.openxmlformats.org/officeDocument/2006/relationships/hyperlink" Target="https://scholar.google.com/citations?hl=en&amp;view_op=list_hcore&amp;venue=Z3vTc_eaJhAJ.2024" TargetMode="External"/><Relationship Id="rId94" Type="http://schemas.openxmlformats.org/officeDocument/2006/relationships/hyperlink" Target="https://dblp.org/db/conf/ispw/index.html" TargetMode="External"/><Relationship Id="rId97" Type="http://schemas.openxmlformats.org/officeDocument/2006/relationships/hyperlink" Target="https://scholar.google.com/scholar?q=source%3AConference+source%3Aon+source%3APattern+source%3ALanguages+source%3APrograms&amp;hl=pt-BR&amp;as_sdt=0%2C5&amp;as_ylo=2020&amp;as_yhi=2024" TargetMode="External"/><Relationship Id="rId96" Type="http://schemas.openxmlformats.org/officeDocument/2006/relationships/hyperlink" Target="https://dblp.org/db/conf/fase/index.html" TargetMode="External"/><Relationship Id="rId99" Type="http://schemas.openxmlformats.org/officeDocument/2006/relationships/hyperlink" Target="https://scholar.google.com/citations?hl=en&amp;view_op=list_hcore&amp;venue=I8L8xmsrq2EJ.2024" TargetMode="External"/><Relationship Id="rId98" Type="http://schemas.openxmlformats.org/officeDocument/2006/relationships/hyperlink" Target="https://dblp.org/db/conf/plop/index.html" TargetMode="External"/><Relationship Id="rId91" Type="http://schemas.openxmlformats.org/officeDocument/2006/relationships/hyperlink" Target="https://scholar.google.com/citations?hl=en&amp;view_op=list_hcore&amp;venue=O2nPvVo1E_MJ.2024" TargetMode="External"/><Relationship Id="rId90" Type="http://schemas.openxmlformats.org/officeDocument/2006/relationships/hyperlink" Target="https://dblp.org/db/conf/icse/index.html" TargetMode="External"/><Relationship Id="rId93" Type="http://schemas.openxmlformats.org/officeDocument/2006/relationships/hyperlink" Target="https://scholar.google.com/scholar?q=%28source%3AInternational+source%3AConference+source%3Aon+source%3ASoftware+source%3Aand+source%3ASystem+source%3AProcess%29+OR+%28source%3AICSSP%29&amp;hl=en&amp;as_sdt=0%2C3&amp;as_ylo=2020&amp;as_yhi=2024" TargetMode="External"/><Relationship Id="rId92" Type="http://schemas.openxmlformats.org/officeDocument/2006/relationships/hyperlink" Target="https://dblp.org/db/conf/icse/index.html" TargetMode="External"/><Relationship Id="rId118" Type="http://schemas.openxmlformats.org/officeDocument/2006/relationships/hyperlink" Target="https://dblp.org/db/conf/oss/index.html" TargetMode="External"/><Relationship Id="rId117" Type="http://schemas.openxmlformats.org/officeDocument/2006/relationships/hyperlink" Target="https://scholar.google.com/scholar?q=source%3AInternational+source%3AConference+source%3AOpen+source%3ASource+source%3ASystems&amp;hl=pt-BR&amp;as_sdt=0%2C5&amp;as_ylo=2020&amp;as_yhi=2024" TargetMode="External"/><Relationship Id="rId116" Type="http://schemas.openxmlformats.org/officeDocument/2006/relationships/hyperlink" Target="https://dblp.org/db/conf/wikis/index.html" TargetMode="External"/><Relationship Id="rId115" Type="http://schemas.openxmlformats.org/officeDocument/2006/relationships/hyperlink" Target="https://scholar.google.com/scholar?q=source%3AInternational+source%3ASymposium+source%3AOpen+source%3ACollaboration&amp;hl=pt-BR&amp;as_sdt=0%2C5&amp;as_ylo=2020&amp;as_yhi=2024" TargetMode="External"/><Relationship Id="rId119" Type="http://schemas.openxmlformats.org/officeDocument/2006/relationships/hyperlink" Target="https://scholar.google.com/citations?hl=en&amp;view_op=list_hcore&amp;venue=p7mJ2vt7AdAJ.2024" TargetMode="External"/><Relationship Id="rId110" Type="http://schemas.openxmlformats.org/officeDocument/2006/relationships/hyperlink" Target="https://dblp.org/db/conf/seke/index.html" TargetMode="External"/><Relationship Id="rId114" Type="http://schemas.openxmlformats.org/officeDocument/2006/relationships/hyperlink" Target="https://dblp.org/db/conf/botse-ws/index.html" TargetMode="External"/><Relationship Id="rId113" Type="http://schemas.openxmlformats.org/officeDocument/2006/relationships/hyperlink" Target="https://scholar.google.com/scholar?q=source%3AInternational+source%3AWorkshop+source%3Aon+source%3ABots+source%3Ain+source%3ASoftware+source%3AEngineering&amp;hl=en&amp;as_sdt=0%2C3&amp;as_ylo=2020&amp;as_yhi=2024" TargetMode="External"/><Relationship Id="rId112" Type="http://schemas.openxmlformats.org/officeDocument/2006/relationships/hyperlink" Target="https://dblp.org/db/conf/eurospi/index.html" TargetMode="External"/><Relationship Id="rId111" Type="http://schemas.openxmlformats.org/officeDocument/2006/relationships/hyperlink" Target="https://scholar.google.com/citations?hl=en&amp;view_op=list_hcore&amp;venue=NIvUXCf10OgJ.2024" TargetMode="External"/></Relationships>
</file>

<file path=xl/worksheets/_rels/sheet12.xml.rels><?xml version="1.0" encoding="UTF-8" standalone="yes"?><Relationships xmlns="http://schemas.openxmlformats.org/package/2006/relationships"><Relationship Id="rId40" Type="http://schemas.openxmlformats.org/officeDocument/2006/relationships/hyperlink" Target="https://dblp.uni-trier.de/db/conf/asplos/index.html" TargetMode="External"/><Relationship Id="rId42" Type="http://schemas.openxmlformats.org/officeDocument/2006/relationships/hyperlink" Target="https://dblp.uni-trier.de/db/conf/haskell/index.html" TargetMode="External"/><Relationship Id="rId41" Type="http://schemas.openxmlformats.org/officeDocument/2006/relationships/hyperlink" Target="https://scholar.google.com/scholar?as_q=&amp;as_epq=&amp;as_oq=&amp;as_eq=&amp;as_occt=any&amp;as_sauthors=&amp;as_publication=Haskell+Symposium&amp;as_ylo=2020&amp;as_yhi=2024&amp;hl=pt-BR&amp;as_sdt=0%2C5" TargetMode="External"/><Relationship Id="rId44" Type="http://schemas.openxmlformats.org/officeDocument/2006/relationships/hyperlink" Target="https://dblp.uni-trier.de/db/conf/aplas/index.html" TargetMode="External"/><Relationship Id="rId43" Type="http://schemas.openxmlformats.org/officeDocument/2006/relationships/hyperlink" Target="https://scholar.google.com/citations?hl=en&amp;view_op=list_hcore&amp;venue=dHznF5bq130J.2022" TargetMode="External"/><Relationship Id="rId46" Type="http://schemas.openxmlformats.org/officeDocument/2006/relationships/hyperlink" Target="https://dblp.uni-trier.de/db/conf/programming/index.html" TargetMode="External"/><Relationship Id="rId45" Type="http://schemas.openxmlformats.org/officeDocument/2006/relationships/hyperlink" Target="https://scholar.google.com/scholar?as_q=&amp;as_epq=&amp;as_oq=&amp;as_eq=&amp;as_occt=any&amp;as_sauthors=&amp;as_publication=International+Conference+on+the+Art%2C+Science%2C+and+Engineering+of+Programming&amp;as_ylo=2020&amp;as_yhi=2024&amp;hl=pt-BR&amp;as_sdt=0%2C5" TargetMode="External"/><Relationship Id="rId48" Type="http://schemas.openxmlformats.org/officeDocument/2006/relationships/hyperlink" Target="https://dblp.uni-trier.de/db/conf/onward/index.html" TargetMode="External"/><Relationship Id="rId47" Type="http://schemas.openxmlformats.org/officeDocument/2006/relationships/hyperlink" Target="https://scholar.google.com/scholar?as_q=&amp;as_epq=&amp;as_oq=&amp;as_eq=&amp;as_occt=any&amp;as_sauthors=&amp;as_publication=ACM+SIGPLAN+International+Symposium+on+New+Ideas%2C+New+Paradigms%2C+and+Reflections+on+Programming+and+Software&amp;as_ylo=2020&amp;as_yhi=2024&amp;hl=pt-BR&amp;as_sdt=0%2C5" TargetMode="External"/><Relationship Id="rId49" Type="http://schemas.openxmlformats.org/officeDocument/2006/relationships/hyperlink" Target="https://scholar.google.com/scholar?start=0&amp;q=source:Dynamic+source:Languages+source:Symposium+source:on&amp;hl=pt-BR&amp;as_sdt=0,5&amp;as_ylo=2014&amp;as_yhi=2018" TargetMode="External"/><Relationship Id="rId31" Type="http://schemas.openxmlformats.org/officeDocument/2006/relationships/hyperlink" Target="https://scholar.google.com.br/citations?hl=en&amp;view_op=list_hcore&amp;venue=ktOuQEhO-mwJ.2022" TargetMode="External"/><Relationship Id="rId30" Type="http://schemas.openxmlformats.org/officeDocument/2006/relationships/hyperlink" Target="https://dblp.uni-trier.de/db/conf/cpp/index.html" TargetMode="External"/><Relationship Id="rId33" Type="http://schemas.openxmlformats.org/officeDocument/2006/relationships/hyperlink" Target="https://scholar.google.com/citations?hl=en&amp;view_op=list_hcore&amp;venue=uB4PZkdP_ikJ.2024" TargetMode="External"/><Relationship Id="rId32" Type="http://schemas.openxmlformats.org/officeDocument/2006/relationships/hyperlink" Target="https://dblp.uni-trier.de/db/conf/ppdp/index.html" TargetMode="External"/><Relationship Id="rId35" Type="http://schemas.openxmlformats.org/officeDocument/2006/relationships/hyperlink" Target="https://scholar.google.com/citations?hl=en&amp;view_op=list_hcore&amp;venue=m0WHmETFb4sJ.2024" TargetMode="External"/><Relationship Id="rId34" Type="http://schemas.openxmlformats.org/officeDocument/2006/relationships/hyperlink" Target="https://dblp.uni-trier.de/db/conf/sas/index.html" TargetMode="External"/><Relationship Id="rId37" Type="http://schemas.openxmlformats.org/officeDocument/2006/relationships/hyperlink" Target="https://scholar.google.com/scholar?as_q=&amp;as_epq=&amp;as_oq=&amp;as_eq=&amp;as_occt=any&amp;as_sauthors=&amp;as_publication=International+Conference+on+Virtual+Execution+Environments&amp;as_ylo=2020&amp;as_yhi=2024&amp;hl=pt-BR&amp;as_sdt=0%2C5" TargetMode="External"/><Relationship Id="rId36" Type="http://schemas.openxmlformats.org/officeDocument/2006/relationships/hyperlink" Target="https://dblp.uni-trier.de/db/conf/scam/index.html" TargetMode="External"/><Relationship Id="rId39" Type="http://schemas.openxmlformats.org/officeDocument/2006/relationships/hyperlink" Target="https://scholar.google.com/citations?hl=en&amp;view_op=list_hcore&amp;venue=KlkFB9T8yJEJ.2024" TargetMode="External"/><Relationship Id="rId38" Type="http://schemas.openxmlformats.org/officeDocument/2006/relationships/hyperlink" Target="https://dblp.uni-trier.de/db/conf/vee/index.html" TargetMode="External"/><Relationship Id="rId20" Type="http://schemas.openxmlformats.org/officeDocument/2006/relationships/hyperlink" Target="https://dblp.uni-trier.de/db/conf/sblp/index.html" TargetMode="External"/><Relationship Id="rId22" Type="http://schemas.openxmlformats.org/officeDocument/2006/relationships/hyperlink" Target="https://dblp.uni-trier.de/db/conf/sle/index.html" TargetMode="External"/><Relationship Id="rId21" Type="http://schemas.openxmlformats.org/officeDocument/2006/relationships/hyperlink" Target="https://scholar.google.com/citations?hl=en&amp;view_op=list_hcore&amp;venue=gvR2lhvj3awJ.2023" TargetMode="External"/><Relationship Id="rId24" Type="http://schemas.openxmlformats.org/officeDocument/2006/relationships/hyperlink" Target="https://dblp.uni-trier.de/db/conf/lctrts/index.html" TargetMode="External"/><Relationship Id="rId23" Type="http://schemas.openxmlformats.org/officeDocument/2006/relationships/hyperlink" Target="https://scholar.google.com/scholar?as_q=&amp;as_epq=&amp;as_oq=&amp;as_eq=&amp;as_occt=any&amp;as_sauthors=&amp;as_publication=Languages%2C+Compilers%2C+and+Tools+for+Embedded+Systems&amp;as_ylo=2020&amp;as_yhi=2024&amp;hl=pt-BR&amp;as_sdt=0%2C5" TargetMode="External"/><Relationship Id="rId26" Type="http://schemas.openxmlformats.org/officeDocument/2006/relationships/hyperlink" Target="https://dblp.uni-trier.de/db/conf/gpce/index.html" TargetMode="External"/><Relationship Id="rId25" Type="http://schemas.openxmlformats.org/officeDocument/2006/relationships/hyperlink" Target="https://scholar.google.com/scholar?as_q=&amp;as_epq=&amp;as_oq=&amp;as_eq=&amp;as_occt=any&amp;as_sauthors=&amp;as_publication=Generative+Programming%3A+Concepts+and+Experiences&amp;as_ylo=2020&amp;as_yhi=2024&amp;hl=pt-BR&amp;as_sdt=0%2C5" TargetMode="External"/><Relationship Id="rId28" Type="http://schemas.openxmlformats.org/officeDocument/2006/relationships/hyperlink" Target="https://dblp.uni-trier.de/db/conf/iwmm/index.html" TargetMode="External"/><Relationship Id="rId27" Type="http://schemas.openxmlformats.org/officeDocument/2006/relationships/hyperlink" Target="https://scholar.google.com.br/citations?hl=en&amp;view_op=list_hcore&amp;venue=gOjRemocSxMJ.2020" TargetMode="External"/><Relationship Id="rId29" Type="http://schemas.openxmlformats.org/officeDocument/2006/relationships/hyperlink" Target="https://scholar.google.com/citations?hl=en&amp;view_op=list_hcore&amp;venue=kLPk-HmRGuYJ.2024" TargetMode="External"/><Relationship Id="rId11" Type="http://schemas.openxmlformats.org/officeDocument/2006/relationships/hyperlink" Target="https://scholar.google.com/citations?hl=en&amp;view_op=list_hcore&amp;venue=ol9-bwToVWEJ.2024" TargetMode="External"/><Relationship Id="rId10" Type="http://schemas.openxmlformats.org/officeDocument/2006/relationships/hyperlink" Target="https://dblp.uni-trier.de/db/conf/icfp/index.html" TargetMode="External"/><Relationship Id="rId13" Type="http://schemas.openxmlformats.org/officeDocument/2006/relationships/hyperlink" Target="https://scholar.google.com/scholar?as_q=&amp;as_epq=&amp;as_oq=&amp;as_eq=&amp;as_occt=any&amp;as_sauthors=&amp;as_publication=International+Conference+on+Compiler+Construction&amp;as_ylo=2020&amp;as_yhi=2024&amp;hl=pt-BR&amp;as_sdt=0%2C5" TargetMode="External"/><Relationship Id="rId12" Type="http://schemas.openxmlformats.org/officeDocument/2006/relationships/hyperlink" Target="https://dblp.uni-trier.de/db/conf/cgo/index.html" TargetMode="External"/><Relationship Id="rId15" Type="http://schemas.openxmlformats.org/officeDocument/2006/relationships/hyperlink" Target="https://scholar.google.com/citations?hl=en&amp;view_op=list_hcore&amp;venue=UtpXAOWmk9EJ.2024" TargetMode="External"/><Relationship Id="rId14" Type="http://schemas.openxmlformats.org/officeDocument/2006/relationships/hyperlink" Target="https://dblp.uni-trier.de/db/conf/cc/index.html" TargetMode="External"/><Relationship Id="rId17" Type="http://schemas.openxmlformats.org/officeDocument/2006/relationships/hyperlink" Target="https://scholar.google.com/citations?hl=en&amp;view_op=list_hcore&amp;venue=JDUQTRUV4EYJ.2024" TargetMode="External"/><Relationship Id="rId16" Type="http://schemas.openxmlformats.org/officeDocument/2006/relationships/hyperlink" Target="https://dblp.uni-trier.de/db/conf/esop/index.html" TargetMode="External"/><Relationship Id="rId19" Type="http://schemas.openxmlformats.org/officeDocument/2006/relationships/hyperlink" Target="https://scholar.google.com/scholar?as_q=&amp;as_epq=&amp;as_oq=&amp;as_eq=&amp;as_occt=any&amp;as_sauthors=&amp;as_publication=Brazilian+Symposium+on+Programming+Languages&amp;as_ylo=2020&amp;as_yhi=2024&amp;hl=pt-BR&amp;as_sdt=0%2C5" TargetMode="External"/><Relationship Id="rId18" Type="http://schemas.openxmlformats.org/officeDocument/2006/relationships/hyperlink" Target="https://dblp.uni-trier.de/db/conf/ppopp/index.html" TargetMode="External"/><Relationship Id="rId1" Type="http://schemas.openxmlformats.org/officeDocument/2006/relationships/hyperlink" Target="https://scholar.google.com/citations?hl=en&amp;view_op=list_hcore&amp;venue=6CxxSCV0pL8J.2021" TargetMode="External"/><Relationship Id="rId2" Type="http://schemas.openxmlformats.org/officeDocument/2006/relationships/hyperlink" Target="https://dblp.uni-trier.de/db/conf/popl/index.html" TargetMode="External"/><Relationship Id="rId3" Type="http://schemas.openxmlformats.org/officeDocument/2006/relationships/hyperlink" Target="https://scholar.google.com/citations?hl=en&amp;view_op=list_hcore&amp;venue=MJmsjXA6rLIJ.2024" TargetMode="External"/><Relationship Id="rId4" Type="http://schemas.openxmlformats.org/officeDocument/2006/relationships/hyperlink" Target="https://dblp.uni-trier.de/db/conf/pldi/index.html" TargetMode="External"/><Relationship Id="rId9" Type="http://schemas.openxmlformats.org/officeDocument/2006/relationships/hyperlink" Target="https://scholar.google.com/citations?hl=en&amp;view_op=list_hcore&amp;venue=uAiqErfInCIJ.2019" TargetMode="External"/><Relationship Id="rId5" Type="http://schemas.openxmlformats.org/officeDocument/2006/relationships/hyperlink" Target="https://scholar.google.com/citations?hl=en&amp;view_op=list_hcore&amp;venue=QHz4g2YxOYgJ.2024" TargetMode="External"/><Relationship Id="rId6" Type="http://schemas.openxmlformats.org/officeDocument/2006/relationships/hyperlink" Target="https://dblp.uni-trier.de/db/conf/ecoop/index.html" TargetMode="External"/><Relationship Id="rId7" Type="http://schemas.openxmlformats.org/officeDocument/2006/relationships/hyperlink" Target="https://scholar.google.com/citations?hl=en&amp;view_op=list_hcore&amp;venue=k7wjG1erdwwJ.2020" TargetMode="External"/><Relationship Id="rId8" Type="http://schemas.openxmlformats.org/officeDocument/2006/relationships/hyperlink" Target="https://dblp.uni-trier.de/db/conf/oopsla/index.html" TargetMode="External"/><Relationship Id="rId61" Type="http://schemas.openxmlformats.org/officeDocument/2006/relationships/drawing" Target="../drawings/drawing12.xml"/><Relationship Id="rId60" Type="http://schemas.openxmlformats.org/officeDocument/2006/relationships/hyperlink" Target="https://dblp.uni-trier.de/db/conf/wollic/index.html" TargetMode="External"/><Relationship Id="rId51" Type="http://schemas.openxmlformats.org/officeDocument/2006/relationships/hyperlink" Target="https://scholar.google.com/scholar?as_q=&amp;as_epq=&amp;as_oq=&amp;as_eq=&amp;as_occt=any&amp;as_sauthors=&amp;as_publication=Dynamic+Languages+Symposium&amp;as_ylo=2020&amp;as_yhi=2024&amp;hl=pt-BR&amp;as_sdt=0%2C5" TargetMode="External"/><Relationship Id="rId50" Type="http://schemas.openxmlformats.org/officeDocument/2006/relationships/hyperlink" Target="https://dblp.uni-trier.de/db/conf/dls/index.html" TargetMode="External"/><Relationship Id="rId53" Type="http://schemas.openxmlformats.org/officeDocument/2006/relationships/hyperlink" Target="https://scholar.google.com/scholar?as_q=&amp;as_epq=&amp;as_oq=&amp;as_eq=&amp;as_occt=any&amp;as_sauthors=&amp;as_publication=International+Conference+on+Compilers%2C+Architecture%2C+and+Synthesis+for+Embedded+Systems&amp;as_ylo=2020&amp;as_yhi=2024&amp;hl=pt-BR&amp;as_sdt=0%2C5" TargetMode="External"/><Relationship Id="rId52" Type="http://schemas.openxmlformats.org/officeDocument/2006/relationships/hyperlink" Target="https://dblp.uni-trier.de/db/conf/scopes/index.html" TargetMode="External"/><Relationship Id="rId55" Type="http://schemas.openxmlformats.org/officeDocument/2006/relationships/hyperlink" Target="https://scholar.google.com/scholar?as_q=&amp;as_epq=&amp;as_oq=&amp;as_eq=&amp;as_occt=any&amp;as_sauthors=&amp;as_publication=Workshop+on+Reactive+and+Event-Based+Languages+and+Systems&amp;as_ylo=2020&amp;as_yhi=2024&amp;hl=pt-BR&amp;as_sdt=0%2C5" TargetMode="External"/><Relationship Id="rId54" Type="http://schemas.openxmlformats.org/officeDocument/2006/relationships/hyperlink" Target="https://dblp.uni-trier.de/db/conf/cases/index.html" TargetMode="External"/><Relationship Id="rId57" Type="http://schemas.openxmlformats.org/officeDocument/2006/relationships/hyperlink" Target="https://scholar.google.com.br/scholar?start=30&amp;q=source:Forum+source:on+source:Specification+source:Design+source:Languages&amp;hl=en&amp;as_sdt=0,5&amp;as_ylo=2020&amp;as_yhi=2024" TargetMode="External"/><Relationship Id="rId56" Type="http://schemas.openxmlformats.org/officeDocument/2006/relationships/hyperlink" Target="https://dblp.uni-trier.de/db/conf/rebls/index.html" TargetMode="External"/><Relationship Id="rId59" Type="http://schemas.openxmlformats.org/officeDocument/2006/relationships/hyperlink" Target="https://scholar.google.com/citations?hl=en&amp;view_op=list_hcore&amp;venue=-_yucm7AqqAJ.2024" TargetMode="External"/><Relationship Id="rId58" Type="http://schemas.openxmlformats.org/officeDocument/2006/relationships/hyperlink" Target="https://dblp.uni-trier.de/db/conf/fdl/index.html" TargetMode="External"/></Relationships>
</file>

<file path=xl/worksheets/_rels/sheet13.xml.rels><?xml version="1.0" encoding="UTF-8" standalone="yes"?><Relationships xmlns="http://schemas.openxmlformats.org/package/2006/relationships"><Relationship Id="rId11" Type="http://schemas.openxmlformats.org/officeDocument/2006/relationships/hyperlink" Target="https://scholar.google.com.br/citations?hl=en&amp;view_op=list_hcore&amp;venue=foujqxJmEBEJ.2019" TargetMode="External"/><Relationship Id="rId10" Type="http://schemas.openxmlformats.org/officeDocument/2006/relationships/hyperlink" Target="https://scholar.google.com.br/citations?hl=en&amp;view_op=list_hcore&amp;venue=wkpUPIDgNa4J.2019" TargetMode="External"/><Relationship Id="rId13" Type="http://schemas.openxmlformats.org/officeDocument/2006/relationships/hyperlink" Target="https://scholar.google.com.br/citations?hl=en&amp;view_op=list_hcore&amp;venue=P_bGcOzNXgIJ.2019" TargetMode="External"/><Relationship Id="rId12" Type="http://schemas.openxmlformats.org/officeDocument/2006/relationships/hyperlink" Target="https://scholar.google.com.br/citations?hl=en&amp;view_op=list_hcore&amp;venue=uulzuBwI1mAJ.2019" TargetMode="External"/><Relationship Id="rId15" Type="http://schemas.openxmlformats.org/officeDocument/2006/relationships/hyperlink" Target="https://scholar.google.com.br/citations?hl=en&amp;view_op=list_hcore&amp;venue=wOH94ungceEJ.2019" TargetMode="External"/><Relationship Id="rId14" Type="http://schemas.openxmlformats.org/officeDocument/2006/relationships/hyperlink" Target="https://scholar.google.com.br/citations?hl=en&amp;view_op=list_hcore&amp;venue=1wsH4YLiPpcJ.2019" TargetMode="External"/><Relationship Id="rId17" Type="http://schemas.openxmlformats.org/officeDocument/2006/relationships/hyperlink" Target="https://scholar.google.com.br/citations?hl=en&amp;view_op=list_hcore&amp;venue=WZLpmXhRGDcJ.2019" TargetMode="External"/><Relationship Id="rId16" Type="http://schemas.openxmlformats.org/officeDocument/2006/relationships/hyperlink" Target="https://scholar.google.com.br/citations?hl=en&amp;view_op=list_hcore&amp;venue=dC3V1ZRAEU4J.2019" TargetMode="External"/><Relationship Id="rId18" Type="http://schemas.openxmlformats.org/officeDocument/2006/relationships/drawing" Target="../drawings/drawing13.xml"/><Relationship Id="rId1" Type="http://schemas.openxmlformats.org/officeDocument/2006/relationships/hyperlink" Target="https://scholar.google.com.br/citations?hl=en&amp;view_op=list_hcore&amp;venue=mvAUTVUvOS0J.2019" TargetMode="External"/><Relationship Id="rId2" Type="http://schemas.openxmlformats.org/officeDocument/2006/relationships/hyperlink" Target="https://scholar.google.com.br/citations?hl=en&amp;view_op=list_hcore&amp;venue=_zC9HnSttFIJ.2019" TargetMode="External"/><Relationship Id="rId3" Type="http://schemas.openxmlformats.org/officeDocument/2006/relationships/hyperlink" Target="https://scholar.google.com.br/citations?hl=en&amp;view_op=list_hcore&amp;venue=KaKG4ZSdHz4J.2019" TargetMode="External"/><Relationship Id="rId4" Type="http://schemas.openxmlformats.org/officeDocument/2006/relationships/hyperlink" Target="https://scholar.google.com.br/citations?hl=en&amp;view_op=list_hcore&amp;venue=s5Z0Q8BPlvwJ.2019" TargetMode="External"/><Relationship Id="rId9" Type="http://schemas.openxmlformats.org/officeDocument/2006/relationships/hyperlink" Target="https://scholar.google.com.br/citations?hl=en&amp;view_op=list_hcore&amp;venue=qgBvh59sjMQJ.2019" TargetMode="External"/><Relationship Id="rId5" Type="http://schemas.openxmlformats.org/officeDocument/2006/relationships/hyperlink" Target="https://scholar.google.com.br/citations?hl=en&amp;view_op=list_hcore&amp;venue=8ADvAx1bYPYJ.2019" TargetMode="External"/><Relationship Id="rId6" Type="http://schemas.openxmlformats.org/officeDocument/2006/relationships/hyperlink" Target="https://scholar.google.com.br/citations?hl=en&amp;view_op=list_hcore&amp;venue=LIYEKQ4Mf5YJ.2019" TargetMode="External"/><Relationship Id="rId7" Type="http://schemas.openxmlformats.org/officeDocument/2006/relationships/hyperlink" Target="https://scholar.google.com.br/citations?hl=en&amp;view_op=list_hcore&amp;venue=Gzge6qp3seEJ.2019" TargetMode="External"/><Relationship Id="rId8" Type="http://schemas.openxmlformats.org/officeDocument/2006/relationships/hyperlink" Target="https://scholar.google.com.br/citations?hl=en&amp;view_op=list_hcore&amp;venue=Nw9VzNrATcAJ.2019" TargetMode="External"/></Relationships>
</file>

<file path=xl/worksheets/_rels/sheet14.xml.rels><?xml version="1.0" encoding="UTF-8" standalone="yes"?><Relationships xmlns="http://schemas.openxmlformats.org/package/2006/relationships"><Relationship Id="rId40" Type="http://schemas.openxmlformats.org/officeDocument/2006/relationships/hyperlink" Target="https://dblp.org/db/conf/colognetwente/index.html" TargetMode="External"/><Relationship Id="rId42" Type="http://schemas.openxmlformats.org/officeDocument/2006/relationships/hyperlink" Target="https://sol.sbc.org.br/index.php/etc" TargetMode="External"/><Relationship Id="rId41" Type="http://schemas.openxmlformats.org/officeDocument/2006/relationships/hyperlink" Target="https://scholar.google.com/citations?hl=en&amp;view_op=list_hcore&amp;venue=S-FAvH1rAgcJ.2024" TargetMode="External"/><Relationship Id="rId44" Type="http://schemas.openxmlformats.org/officeDocument/2006/relationships/hyperlink" Target="https://dblp.org/db/conf/fsttcs/index.html" TargetMode="External"/><Relationship Id="rId43" Type="http://schemas.openxmlformats.org/officeDocument/2006/relationships/hyperlink" Target="https://scholar.google.com/citations?hl=en&amp;view_op=list_hcore&amp;venue=z6eJxmwe_DYJ.2024" TargetMode="External"/><Relationship Id="rId46" Type="http://schemas.openxmlformats.org/officeDocument/2006/relationships/hyperlink" Target="https://dblp.org/db/conf/cocoon/index.html" TargetMode="External"/><Relationship Id="rId45" Type="http://schemas.openxmlformats.org/officeDocument/2006/relationships/hyperlink" Target="https://scholar.google.com/citations?hl=en&amp;view_op=list_hcore&amp;venue=nuQnbkFkrG0J.2024" TargetMode="External"/><Relationship Id="rId48" Type="http://schemas.openxmlformats.org/officeDocument/2006/relationships/hyperlink" Target="https://dblp.org/db/conf/ciac/index.html" TargetMode="External"/><Relationship Id="rId47" Type="http://schemas.openxmlformats.org/officeDocument/2006/relationships/hyperlink" Target="https://scholar.google.com/citations?hl=en&amp;view_op=list_hcore&amp;venue=3cSHcC5AA7QJ.2020" TargetMode="External"/><Relationship Id="rId49" Type="http://schemas.openxmlformats.org/officeDocument/2006/relationships/hyperlink" Target="https://scholar.google.com/citations?hl=en&amp;view_op=list_hcore&amp;venue=oMZjQ-X5R1EJ.2024" TargetMode="External"/><Relationship Id="rId31" Type="http://schemas.openxmlformats.org/officeDocument/2006/relationships/hyperlink" Target="https://dblp.org/db/conf/isaac/index.html" TargetMode="External"/><Relationship Id="rId30" Type="http://schemas.openxmlformats.org/officeDocument/2006/relationships/hyperlink" Target="https://scholar.google.com/citations?hl=en&amp;view_op=list_hcore&amp;venue=REeNFlEptmgJ.2024" TargetMode="External"/><Relationship Id="rId33" Type="http://schemas.openxmlformats.org/officeDocument/2006/relationships/hyperlink" Target="https://dblp.org/db/conf/wea/index.html" TargetMode="External"/><Relationship Id="rId32" Type="http://schemas.openxmlformats.org/officeDocument/2006/relationships/hyperlink" Target="https://scholar.google.com/citations?hl=en&amp;view_op=list_hcore&amp;venue=5mM2zjnIDtwJ.2024" TargetMode="External"/><Relationship Id="rId35" Type="http://schemas.openxmlformats.org/officeDocument/2006/relationships/hyperlink" Target="https://dblp.org/db/conf/mfcs/index.html" TargetMode="External"/><Relationship Id="rId34" Type="http://schemas.openxmlformats.org/officeDocument/2006/relationships/hyperlink" Target="https://scholar.google.com/citations?hl=en&amp;view_op=list_hcore&amp;venue=b7Wt8oz6uqAJ.2024" TargetMode="External"/><Relationship Id="rId37" Type="http://schemas.openxmlformats.org/officeDocument/2006/relationships/hyperlink" Target="https://dblp.org/db/conf/iwpec/index.html" TargetMode="External"/><Relationship Id="rId36" Type="http://schemas.openxmlformats.org/officeDocument/2006/relationships/hyperlink" Target="https://scholar.google.com/citations?hl=en&amp;view_op=list_hcore&amp;venue=omO5C9pkf-8J.2024" TargetMode="External"/><Relationship Id="rId39" Type="http://schemas.openxmlformats.org/officeDocument/2006/relationships/hyperlink" Target="https://dblp.org/db/conf/compgeom/index.html" TargetMode="External"/><Relationship Id="rId38" Type="http://schemas.openxmlformats.org/officeDocument/2006/relationships/hyperlink" Target="https://scholar.google.com/citations?hl=en&amp;view_op=list_hcore&amp;venue=MGCukPJHrn0J.2024" TargetMode="External"/><Relationship Id="rId20" Type="http://schemas.openxmlformats.org/officeDocument/2006/relationships/hyperlink" Target="https://dblp.org/db/conf/stacs/index.html" TargetMode="External"/><Relationship Id="rId22" Type="http://schemas.openxmlformats.org/officeDocument/2006/relationships/hyperlink" Target="https://dblp.org/db/conf/wads/index.html" TargetMode="External"/><Relationship Id="rId21" Type="http://schemas.openxmlformats.org/officeDocument/2006/relationships/hyperlink" Target="https://scholar.google.com/citations?hl=en&amp;view_op=list_hcore&amp;venue=WuJ205lBDckJ.2024" TargetMode="External"/><Relationship Id="rId24" Type="http://schemas.openxmlformats.org/officeDocument/2006/relationships/hyperlink" Target="https://scholar.google.com/citations?hl=en&amp;view_op=list_hcore&amp;venue=VHvULLS5ORIJ.2024" TargetMode="External"/><Relationship Id="rId23" Type="http://schemas.openxmlformats.org/officeDocument/2006/relationships/hyperlink" Target="https://scholar.google.com/citations?hl=en&amp;view_op=list_hcore&amp;venue=wn0aYglh-KMJ.2018" TargetMode="External"/><Relationship Id="rId26" Type="http://schemas.openxmlformats.org/officeDocument/2006/relationships/hyperlink" Target="https://scholar.google.com/citations?hl=en&amp;view_op=list_hcore&amp;venue=M9oM2PGejDoJ.2024" TargetMode="External"/><Relationship Id="rId25" Type="http://schemas.openxmlformats.org/officeDocument/2006/relationships/hyperlink" Target="https://dblp.org/db/conf/coco/index.html" TargetMode="External"/><Relationship Id="rId28" Type="http://schemas.openxmlformats.org/officeDocument/2006/relationships/hyperlink" Target="https://scholar.google.com/citations?hl=en&amp;view_op=list_hcore&amp;venue=S648KV_osZMJ.2024" TargetMode="External"/><Relationship Id="rId27" Type="http://schemas.openxmlformats.org/officeDocument/2006/relationships/hyperlink" Target="https://dblp.org/db/conf/random/index.html" TargetMode="External"/><Relationship Id="rId29" Type="http://schemas.openxmlformats.org/officeDocument/2006/relationships/hyperlink" Target="https://dblp.org/db/conf/cp/index.html" TargetMode="External"/><Relationship Id="rId11" Type="http://schemas.openxmlformats.org/officeDocument/2006/relationships/hyperlink" Target="https://scholar.google.com/citations?hl=en&amp;view_op=list_hcore&amp;venue=QUcbc1kDDcEJ.2024" TargetMode="External"/><Relationship Id="rId10" Type="http://schemas.openxmlformats.org/officeDocument/2006/relationships/hyperlink" Target="https://dblp.org/db/conf/esa/index.html" TargetMode="External"/><Relationship Id="rId13" Type="http://schemas.openxmlformats.org/officeDocument/2006/relationships/hyperlink" Target="https://scholar.google.com/citations?hl=en&amp;view_op=list_hcore&amp;venue=-jyI22RzDikJ.2024" TargetMode="External"/><Relationship Id="rId12" Type="http://schemas.openxmlformats.org/officeDocument/2006/relationships/hyperlink" Target="https://dblp.org/db/conf/focs/index.html" TargetMode="External"/><Relationship Id="rId15" Type="http://schemas.openxmlformats.org/officeDocument/2006/relationships/hyperlink" Target="https://scholar.google.com/citations?hl=en&amp;view_op=list_hcore&amp;venue=bEdEBGLFMMoJ.2024" TargetMode="External"/><Relationship Id="rId14" Type="http://schemas.openxmlformats.org/officeDocument/2006/relationships/hyperlink" Target="https://dblp.org/db/conf/icalp/index.html" TargetMode="External"/><Relationship Id="rId17" Type="http://schemas.openxmlformats.org/officeDocument/2006/relationships/hyperlink" Target="https://scholar.google.com/citations?hl=en&amp;view_op=list_hcore&amp;venue=OeICmY9lwg4J.2023" TargetMode="External"/><Relationship Id="rId16" Type="http://schemas.openxmlformats.org/officeDocument/2006/relationships/hyperlink" Target="https://dblp.org/db/conf/wg/index.html" TargetMode="External"/><Relationship Id="rId19" Type="http://schemas.openxmlformats.org/officeDocument/2006/relationships/hyperlink" Target="https://scholar.google.com/citations?hl=en&amp;view_op=list_hcore&amp;venue=BmGC50v8VqkJ.2024" TargetMode="External"/><Relationship Id="rId18" Type="http://schemas.openxmlformats.org/officeDocument/2006/relationships/hyperlink" Target="https://dblp.org/db/conf/latin/index.html" TargetMode="External"/><Relationship Id="rId1" Type="http://schemas.openxmlformats.org/officeDocument/2006/relationships/hyperlink" Target="https://scholar.google.com/citations?hl=en&amp;view_op=list_hcore&amp;venue=t-147h7Cn5cJ.2024" TargetMode="External"/><Relationship Id="rId2" Type="http://schemas.openxmlformats.org/officeDocument/2006/relationships/hyperlink" Target="https://dblp.org/db/conf/stoc/index.html" TargetMode="External"/><Relationship Id="rId3" Type="http://schemas.openxmlformats.org/officeDocument/2006/relationships/hyperlink" Target="https://scholar.google.com/citations?hl=en&amp;view_op=list_hcore&amp;venue=9lG2cY79sEoJ.2024" TargetMode="External"/><Relationship Id="rId4" Type="http://schemas.openxmlformats.org/officeDocument/2006/relationships/hyperlink" Target="https://dblp.org/db/conf/soda/index.html" TargetMode="External"/><Relationship Id="rId9" Type="http://schemas.openxmlformats.org/officeDocument/2006/relationships/hyperlink" Target="https://scholar.google.com/citations?hl=en&amp;view_op=list_hcore&amp;venue=sNtxnFuOq5YJ.2024" TargetMode="External"/><Relationship Id="rId5" Type="http://schemas.openxmlformats.org/officeDocument/2006/relationships/hyperlink" Target="https://scholar.google.com/citations?hl=en&amp;view_op=list_hcore&amp;venue=YFgbcWcmuG4J.2024" TargetMode="External"/><Relationship Id="rId6" Type="http://schemas.openxmlformats.org/officeDocument/2006/relationships/hyperlink" Target="https://dblp.org/db/conf/itcs/index.html" TargetMode="External"/><Relationship Id="rId7" Type="http://schemas.openxmlformats.org/officeDocument/2006/relationships/hyperlink" Target="https://scholar.google.com/citations?hl=en&amp;view_op=list_hcore&amp;venue=_8wwFhBIq4cJ.2023" TargetMode="External"/><Relationship Id="rId8" Type="http://schemas.openxmlformats.org/officeDocument/2006/relationships/hyperlink" Target="https://dblp.org/db/conf/ipco/index.html" TargetMode="External"/><Relationship Id="rId73" Type="http://schemas.openxmlformats.org/officeDocument/2006/relationships/hyperlink" Target="https://dblp.org/db/conf/sosa/index.html" TargetMode="External"/><Relationship Id="rId72" Type="http://schemas.openxmlformats.org/officeDocument/2006/relationships/hyperlink" Target="https://dblp.org/db/conf/alenex/index.html" TargetMode="External"/><Relationship Id="rId75" Type="http://schemas.openxmlformats.org/officeDocument/2006/relationships/hyperlink" Target="https://dblp.org/db/conf/waoa/index.html" TargetMode="External"/><Relationship Id="rId74" Type="http://schemas.openxmlformats.org/officeDocument/2006/relationships/hyperlink" Target="https://dblp.org/db/conf/analco/index.html" TargetMode="External"/><Relationship Id="rId76" Type="http://schemas.openxmlformats.org/officeDocument/2006/relationships/drawing" Target="../drawings/drawing14.xml"/><Relationship Id="rId71" Type="http://schemas.openxmlformats.org/officeDocument/2006/relationships/hyperlink" Target="https://dblp.org/db/conf/swat/index.html" TargetMode="External"/><Relationship Id="rId70" Type="http://schemas.openxmlformats.org/officeDocument/2006/relationships/hyperlink" Target="https://scholar.google.com/citations?hl=en&amp;view_op=list_hcore&amp;venue=IyEy51GZdIUJ.2023" TargetMode="External"/><Relationship Id="rId62" Type="http://schemas.openxmlformats.org/officeDocument/2006/relationships/hyperlink" Target="https://scholar.google.com/citations?hl=en&amp;view_op=list_hcore&amp;venue=o7z9dxAgNj0J.2024" TargetMode="External"/><Relationship Id="rId61" Type="http://schemas.openxmlformats.org/officeDocument/2006/relationships/hyperlink" Target="https://dblp.org/db/conf/fct/index.html" TargetMode="External"/><Relationship Id="rId64" Type="http://schemas.openxmlformats.org/officeDocument/2006/relationships/hyperlink" Target="https://dblp.org/db/conf/ismp/index.html" TargetMode="External"/><Relationship Id="rId63" Type="http://schemas.openxmlformats.org/officeDocument/2006/relationships/hyperlink" Target="https://dblp.org/db/conf/gd/index.html" TargetMode="External"/><Relationship Id="rId66" Type="http://schemas.openxmlformats.org/officeDocument/2006/relationships/hyperlink" Target="https://dblp.org/db/conf/walcom/index.html" TargetMode="External"/><Relationship Id="rId65" Type="http://schemas.openxmlformats.org/officeDocument/2006/relationships/hyperlink" Target="https://scholar.google.com/citations?hl=en&amp;view_op=list_hcore&amp;venue=Qm-_RD142XUJ.2024" TargetMode="External"/><Relationship Id="rId68" Type="http://schemas.openxmlformats.org/officeDocument/2006/relationships/hyperlink" Target="https://dblp.org/db/conf/iwoca/index.html" TargetMode="External"/><Relationship Id="rId67" Type="http://schemas.openxmlformats.org/officeDocument/2006/relationships/hyperlink" Target="https://scholar.google.com/citations?hl=en&amp;view_op=list_hcore&amp;venue=aEFAi4RU6TEJ.2024" TargetMode="External"/><Relationship Id="rId60" Type="http://schemas.openxmlformats.org/officeDocument/2006/relationships/hyperlink" Target="https://dblp.org/db/conf/isco/index.html" TargetMode="External"/><Relationship Id="rId69" Type="http://schemas.openxmlformats.org/officeDocument/2006/relationships/hyperlink" Target="https://dblp.org/db/conf/lagos/index.html" TargetMode="External"/><Relationship Id="rId51" Type="http://schemas.openxmlformats.org/officeDocument/2006/relationships/hyperlink" Target="https://scholar.google.com/citations?hl=en&amp;view_op=list_hcore&amp;venue=xFmuhcLxNaUJ.2024" TargetMode="External"/><Relationship Id="rId50" Type="http://schemas.openxmlformats.org/officeDocument/2006/relationships/hyperlink" Target="https://dblp.org/db/conf/caldam/index.html" TargetMode="External"/><Relationship Id="rId53" Type="http://schemas.openxmlformats.org/officeDocument/2006/relationships/hyperlink" Target="https://dblp.org/db/conf/sofsem/index.html" TargetMode="External"/><Relationship Id="rId52" Type="http://schemas.openxmlformats.org/officeDocument/2006/relationships/hyperlink" Target="https://dblp.org/db/conf/cocoa/index.html" TargetMode="External"/><Relationship Id="rId55" Type="http://schemas.openxmlformats.org/officeDocument/2006/relationships/hyperlink" Target="https://dblp.org/db/conf/gg/index.html" TargetMode="External"/><Relationship Id="rId54" Type="http://schemas.openxmlformats.org/officeDocument/2006/relationships/hyperlink" Target="https://dblp.org/db/conf/fun/index.html" TargetMode="External"/><Relationship Id="rId57" Type="http://schemas.openxmlformats.org/officeDocument/2006/relationships/hyperlink" Target="https://dblp.org/db/conf/aofa/index.html" TargetMode="External"/><Relationship Id="rId56" Type="http://schemas.openxmlformats.org/officeDocument/2006/relationships/hyperlink" Target="https://dblp.org/db/conf/cpaior/index.html" TargetMode="External"/><Relationship Id="rId59" Type="http://schemas.openxmlformats.org/officeDocument/2006/relationships/hyperlink" Target="https://scholar.google.com/citations?hl=en&amp;view_op=list_hcore&amp;venue=_nw1GAGIGkEJ.2019" TargetMode="External"/><Relationship Id="rId58" Type="http://schemas.openxmlformats.org/officeDocument/2006/relationships/hyperlink" Target="https://dblp.org/db/conf/inoc/index.html" TargetMode="External"/></Relationships>
</file>

<file path=xl/worksheets/_rels/sheet15.xml.rels><?xml version="1.0" encoding="UTF-8" standalone="yes"?><Relationships xmlns="http://schemas.openxmlformats.org/package/2006/relationships"><Relationship Id="rId11" Type="http://schemas.openxmlformats.org/officeDocument/2006/relationships/hyperlink" Target="https://scholar.google.com/citations?hl=en&amp;view_op=list_hcore&amp;venue=QQeDv53tlF0J.2019" TargetMode="External"/><Relationship Id="rId10" Type="http://schemas.openxmlformats.org/officeDocument/2006/relationships/hyperlink" Target="https://scholar.google.com/citations?hl=en&amp;view_op=list_hcore&amp;venue=CYFIxMLpkUsJ.2019" TargetMode="External"/><Relationship Id="rId12" Type="http://schemas.openxmlformats.org/officeDocument/2006/relationships/drawing" Target="../drawings/drawing15.xml"/><Relationship Id="rId1" Type="http://schemas.openxmlformats.org/officeDocument/2006/relationships/hyperlink" Target="https://scholar.google.com/citations?hl=en&amp;vq=bio_bioinformatics&amp;view_op=list_hcore&amp;venue=Bt5D8QeIDW8J.2019" TargetMode="External"/><Relationship Id="rId2" Type="http://schemas.openxmlformats.org/officeDocument/2006/relationships/hyperlink" Target="https://scholar.google.com/citations?hl=en&amp;vq=bio_bioinformatics&amp;view_op=list_hcore&amp;venue=4m3nKpBBPt4J.2019" TargetMode="External"/><Relationship Id="rId3" Type="http://schemas.openxmlformats.org/officeDocument/2006/relationships/hyperlink" Target="https://scholar.google.com/citations?hl=en&amp;view_op=list_hcore&amp;venue=Wzseq37BLhIJ.2019" TargetMode="External"/><Relationship Id="rId4" Type="http://schemas.openxmlformats.org/officeDocument/2006/relationships/hyperlink" Target="https://scholar.google.com/citations?hl=en&amp;vq=bio_bioinformatics&amp;view_op=list_hcore&amp;venue=A0r8tJR7iaEJ.2019" TargetMode="External"/><Relationship Id="rId9" Type="http://schemas.openxmlformats.org/officeDocument/2006/relationships/hyperlink" Target="https://scholar.google.com/citations?hl=en&amp;view_op=list_hcore&amp;venue=mdYvjBmRbpwJ.2019" TargetMode="External"/><Relationship Id="rId5" Type="http://schemas.openxmlformats.org/officeDocument/2006/relationships/hyperlink" Target="https://scholar.google.com/citations?hl=en&amp;view_op=list_hcore&amp;venue=HnP0m-BVIUMJ.2019" TargetMode="External"/><Relationship Id="rId6" Type="http://schemas.openxmlformats.org/officeDocument/2006/relationships/hyperlink" Target="https://scholar.google.com/citations?hl=en&amp;view_op=list_hcore&amp;venue=2QSZR8tX_koJ.2019" TargetMode="External"/><Relationship Id="rId7" Type="http://schemas.openxmlformats.org/officeDocument/2006/relationships/hyperlink" Target="https://scholar.google.com/citations?hl=en&amp;view_op=list_hcore&amp;venue=T4IEJzWRVqIJ.2019" TargetMode="External"/><Relationship Id="rId8" Type="http://schemas.openxmlformats.org/officeDocument/2006/relationships/hyperlink" Target="https://scholar.google.com/citations?hl=en&amp;view_op=list_hcore&amp;venue=ybNREko_Be0J.2019" TargetMode="External"/></Relationships>
</file>

<file path=xl/worksheets/_rels/sheet16.xml.rels><?xml version="1.0" encoding="UTF-8" standalone="yes"?><Relationships xmlns="http://schemas.openxmlformats.org/package/2006/relationships"><Relationship Id="rId20" Type="http://schemas.openxmlformats.org/officeDocument/2006/relationships/hyperlink" Target="http://aesbrasil.org.br/eventos/" TargetMode="External"/><Relationship Id="rId22" Type="http://schemas.openxmlformats.org/officeDocument/2006/relationships/hyperlink" Target="http://dcase.community/" TargetMode="External"/><Relationship Id="rId21" Type="http://schemas.openxmlformats.org/officeDocument/2006/relationships/hyperlink" Target="https://alice.dcomp.ufsj.edu.br/ubimus/" TargetMode="External"/><Relationship Id="rId24" Type="http://schemas.openxmlformats.org/officeDocument/2006/relationships/hyperlink" Target="http://www.smcm-net.info/" TargetMode="External"/><Relationship Id="rId23" Type="http://schemas.openxmlformats.org/officeDocument/2006/relationships/hyperlink" Target="http://www.timbre2017.tu-berlin.de/" TargetMode="External"/><Relationship Id="rId26" Type="http://schemas.openxmlformats.org/officeDocument/2006/relationships/hyperlink" Target="https://sites.google.com/site/sysmusconference/sysmus-logo" TargetMode="External"/><Relationship Id="rId25" Type="http://schemas.openxmlformats.org/officeDocument/2006/relationships/hyperlink" Target="https://waset.org/conference/2019/01/zurich/icpme" TargetMode="External"/><Relationship Id="rId27" Type="http://schemas.openxmlformats.org/officeDocument/2006/relationships/drawing" Target="../drawings/drawing16.xml"/><Relationship Id="rId11" Type="http://schemas.openxmlformats.org/officeDocument/2006/relationships/hyperlink" Target="http://www.icmpc.org/icmpc_history.html" TargetMode="External"/><Relationship Id="rId10" Type="http://schemas.openxmlformats.org/officeDocument/2006/relationships/hyperlink" Target="http://aes.19annualmeeting.com/" TargetMode="External"/><Relationship Id="rId13" Type="http://schemas.openxmlformats.org/officeDocument/2006/relationships/hyperlink" Target="https://www.ntnu.edu/wac2019" TargetMode="External"/><Relationship Id="rId12" Type="http://schemas.openxmlformats.org/officeDocument/2006/relationships/hyperlink" Target="https://lac.linuxaudio.org/2019/" TargetMode="External"/><Relationship Id="rId15" Type="http://schemas.openxmlformats.org/officeDocument/2006/relationships/hyperlink" Target="https://scholar.google.com/citations?hl=en&amp;view_op=search_venues&amp;vq=audiomostly&amp;btnG=" TargetMode="External"/><Relationship Id="rId14" Type="http://schemas.openxmlformats.org/officeDocument/2006/relationships/hyperlink" Target="https://anppom.com.br/noticias/xxix-congresso-da-anppom-2019/" TargetMode="External"/><Relationship Id="rId17" Type="http://schemas.openxmlformats.org/officeDocument/2006/relationships/hyperlink" Target="https://csound.com/icsc2019/" TargetMode="External"/><Relationship Id="rId16" Type="http://schemas.openxmlformats.org/officeDocument/2006/relationships/hyperlink" Target="https://csmc2018.wordpress.com/" TargetMode="External"/><Relationship Id="rId19" Type="http://schemas.openxmlformats.org/officeDocument/2006/relationships/hyperlink" Target="http://www.aes.org/conferences/2017/semantic/" TargetMode="External"/><Relationship Id="rId18" Type="http://schemas.openxmlformats.org/officeDocument/2006/relationships/hyperlink" Target="http://mmrp19.di.unimi.it/" TargetMode="External"/><Relationship Id="rId1" Type="http://schemas.openxmlformats.org/officeDocument/2006/relationships/hyperlink" Target="https://scholar.google.com/citations?hl=en&amp;view_op=search_venues&amp;vq=icassp&amp;btnG=" TargetMode="External"/><Relationship Id="rId2" Type="http://schemas.openxmlformats.org/officeDocument/2006/relationships/hyperlink" Target="https://scholar.google.com/citations?hl=en&amp;view_op=search_venues&amp;vq=international+society+for+music+information+retrieval+conference&amp;btnG=" TargetMode="External"/><Relationship Id="rId3" Type="http://schemas.openxmlformats.org/officeDocument/2006/relationships/hyperlink" Target="https://scholar.google.com/citations?hl=en&amp;view_op=search_venues&amp;vq=NIME&amp;btnG=" TargetMode="External"/><Relationship Id="rId4" Type="http://schemas.openxmlformats.org/officeDocument/2006/relationships/hyperlink" Target="https://scholar.google.com/citations?hl=en&amp;view_op=search_venues&amp;vq=international+computer+music+conference&amp;btnG=" TargetMode="External"/><Relationship Id="rId9" Type="http://schemas.openxmlformats.org/officeDocument/2006/relationships/hyperlink" Target="https://cmmr2019.prism.cnrs.fr/" TargetMode="External"/><Relationship Id="rId5" Type="http://schemas.openxmlformats.org/officeDocument/2006/relationships/hyperlink" Target="http://dafx2019.bcu.ac.uk/" TargetMode="External"/><Relationship Id="rId6" Type="http://schemas.openxmlformats.org/officeDocument/2006/relationships/hyperlink" Target="https://scholar.google.com/citations?hl=en&amp;view_op=search_venues&amp;vq=IEEE+Workshop+on+Applications+of+Signal+Processing+to+Audio+and+Acoustics&amp;btnG=" TargetMode="External"/><Relationship Id="rId7" Type="http://schemas.openxmlformats.org/officeDocument/2006/relationships/hyperlink" Target="https://scholar.google.com/citations?hl=en&amp;view_op=search_venues&amp;vq=IEEE+international+symposium+on+multimedia&amp;btnG=" TargetMode="External"/><Relationship Id="rId8" Type="http://schemas.openxmlformats.org/officeDocument/2006/relationships/hyperlink" Target="http://compmus.ime.usp.br/sbcm/" TargetMode="External"/></Relationships>
</file>

<file path=xl/worksheets/_rels/sheet17.xml.rels><?xml version="1.0" encoding="UTF-8" standalone="yes"?><Relationships xmlns="http://schemas.openxmlformats.org/package/2006/relationships"><Relationship Id="rId40" Type="http://schemas.openxmlformats.org/officeDocument/2006/relationships/hyperlink" Target="https://dblp.org/db/conf/ecsqaru/index.html" TargetMode="External"/><Relationship Id="rId42" Type="http://schemas.openxmlformats.org/officeDocument/2006/relationships/hyperlink" Target="https://dblp.org/db/conf/lacci/index.html" TargetMode="External"/><Relationship Id="rId41" Type="http://schemas.openxmlformats.org/officeDocument/2006/relationships/hyperlink" Target="https://scholar.google.com/citations?hl=en&amp;view_op=list_hcore&amp;venue=MQjh4nsifjAJ.2024" TargetMode="External"/><Relationship Id="rId44" Type="http://schemas.openxmlformats.org/officeDocument/2006/relationships/hyperlink" Target="https://dblp.org/db/conf/propor/index.html" TargetMode="External"/><Relationship Id="rId43" Type="http://schemas.openxmlformats.org/officeDocument/2006/relationships/hyperlink" Target="https://scholar.google.com/citations?hl=pt-BR&amp;view_op=list_hcore&amp;venue=8aBtgrGnL1MJ.2023" TargetMode="External"/><Relationship Id="rId46" Type="http://schemas.openxmlformats.org/officeDocument/2006/relationships/hyperlink" Target="https://dblp.org/db/conf/micai/index.html" TargetMode="External"/><Relationship Id="rId45" Type="http://schemas.openxmlformats.org/officeDocument/2006/relationships/hyperlink" Target="https://scholar.google.com/citations?hl=en&amp;view_op=list_hcore&amp;venue=uhZEgJcD4mIJ.2024" TargetMode="External"/><Relationship Id="rId48" Type="http://schemas.openxmlformats.org/officeDocument/2006/relationships/hyperlink" Target="https://scholar.google.com/citations?hl=en&amp;view_op=list_hcore&amp;venue=DBppmrSv3qgJ.2024" TargetMode="External"/><Relationship Id="rId47" Type="http://schemas.openxmlformats.org/officeDocument/2006/relationships/hyperlink" Target="https://scholar.google.com.br/citations?hl=pt-BR&amp;view_op=list_hcore&amp;venue=erUczV5NGi0J.2023" TargetMode="External"/><Relationship Id="rId49" Type="http://schemas.openxmlformats.org/officeDocument/2006/relationships/hyperlink" Target="https://dblp.org/db/conf/saci/index.html" TargetMode="External"/><Relationship Id="rId31" Type="http://schemas.openxmlformats.org/officeDocument/2006/relationships/hyperlink" Target="https://scholar.google.com/citations?hl=en&amp;view_op=list_hcore&amp;venue=pQVER_ii7sMJ.2024" TargetMode="External"/><Relationship Id="rId30" Type="http://schemas.openxmlformats.org/officeDocument/2006/relationships/hyperlink" Target="https://dblp.org/db/conf/aistats/index.html" TargetMode="External"/><Relationship Id="rId33" Type="http://schemas.openxmlformats.org/officeDocument/2006/relationships/hyperlink" Target="https://scholar.google.com/citations?hl=pt-BR&amp;view_op=list_hcore&amp;venue=sateOX2Ni50J.2024" TargetMode="External"/><Relationship Id="rId32" Type="http://schemas.openxmlformats.org/officeDocument/2006/relationships/hyperlink" Target="https://dblp.org/db/conf/gecco/index.html" TargetMode="External"/><Relationship Id="rId35" Type="http://schemas.openxmlformats.org/officeDocument/2006/relationships/hyperlink" Target="https://scholar.google.com/citations?hl=en&amp;view_op=list_hcore&amp;venue=5m22OTMIZYcJ.2024" TargetMode="External"/><Relationship Id="rId34" Type="http://schemas.openxmlformats.org/officeDocument/2006/relationships/hyperlink" Target="https://dblp.org/db/conf/fuzzIEEE/index.html" TargetMode="External"/><Relationship Id="rId37" Type="http://schemas.openxmlformats.org/officeDocument/2006/relationships/hyperlink" Target="https://scholar.google.com/citations?hl=pt-BR&amp;view_op=list_hcore&amp;venue=eH4qSzdbVtwJ.2024" TargetMode="External"/><Relationship Id="rId36" Type="http://schemas.openxmlformats.org/officeDocument/2006/relationships/hyperlink" Target="https://dblp.org/db/conf/aiide/index.html" TargetMode="External"/><Relationship Id="rId39" Type="http://schemas.openxmlformats.org/officeDocument/2006/relationships/hyperlink" Target="https://scholar.google.com/citations?hl=pt-BR&amp;view_op=list_hcore&amp;venue=NPzpQ2AW63QJ.2024" TargetMode="External"/><Relationship Id="rId38" Type="http://schemas.openxmlformats.org/officeDocument/2006/relationships/hyperlink" Target="https://dblp.org/db/conf/icwsm/index.html" TargetMode="External"/><Relationship Id="rId20" Type="http://schemas.openxmlformats.org/officeDocument/2006/relationships/hyperlink" Target="https://scholar.google.com/citations?hl=pt-BR&amp;view_op=list_hcore&amp;venue=DoEKONL9f1YJ.2024" TargetMode="External"/><Relationship Id="rId22" Type="http://schemas.openxmlformats.org/officeDocument/2006/relationships/hyperlink" Target="https://scholar.google.com.br/citations?hl=pt-BR&amp;view_op=list_hcore&amp;venue=ryLBm7fgHNMJ.2023" TargetMode="External"/><Relationship Id="rId21" Type="http://schemas.openxmlformats.org/officeDocument/2006/relationships/hyperlink" Target="https://sol.sbc.org.br/index.php/eniac/issue/archive" TargetMode="External"/><Relationship Id="rId24" Type="http://schemas.openxmlformats.org/officeDocument/2006/relationships/hyperlink" Target="https://scholar.google.com/citations?hl=pt-BR&amp;view_op=list_hcore&amp;venue=LqrQjvOguiMJ.2024" TargetMode="External"/><Relationship Id="rId23" Type="http://schemas.openxmlformats.org/officeDocument/2006/relationships/hyperlink" Target="https://dblp.org/db/conf/ecai/index.html" TargetMode="External"/><Relationship Id="rId26" Type="http://schemas.openxmlformats.org/officeDocument/2006/relationships/hyperlink" Target="https://scholar.google.com/citations?hl=en&amp;view_op=list_hcore&amp;venue=LqrQjvOguiMJ.2024" TargetMode="External"/><Relationship Id="rId25" Type="http://schemas.openxmlformats.org/officeDocument/2006/relationships/hyperlink" Target="https://dblp.org/db/conf/emnlp/index.html" TargetMode="External"/><Relationship Id="rId28" Type="http://schemas.openxmlformats.org/officeDocument/2006/relationships/hyperlink" Target="https://scholar.google.com/citations?hl=en&amp;view_op=list_hcore&amp;venue=z7sajJgd5jIJ.2024" TargetMode="External"/><Relationship Id="rId27" Type="http://schemas.openxmlformats.org/officeDocument/2006/relationships/hyperlink" Target="https://scholar.google.com/citations?hl=en&amp;view_op=list_hcore&amp;venue=6AbX1YWluE4J.2024" TargetMode="External"/><Relationship Id="rId29" Type="http://schemas.openxmlformats.org/officeDocument/2006/relationships/hyperlink" Target="https://scholar.google.com.br/citations?hl=pt-BR&amp;vq=eng_datamininganalysis&amp;view_op=list_hcore&amp;venue=PhcE9OLs0MUJ.2019" TargetMode="External"/><Relationship Id="rId11" Type="http://schemas.openxmlformats.org/officeDocument/2006/relationships/hyperlink" Target="https://scholar.google.com.br/citations?hl=pt-BR&amp;view_op=list_hcore&amp;venue=xLfkTVI4LkMJ.2023" TargetMode="External"/><Relationship Id="rId10" Type="http://schemas.openxmlformats.org/officeDocument/2006/relationships/hyperlink" Target="https://dblp.org/db/conf/atal/index.html" TargetMode="External"/><Relationship Id="rId13" Type="http://schemas.openxmlformats.org/officeDocument/2006/relationships/hyperlink" Target="https://scholar.google.com/citations?hl=en&amp;view_op=list_hcore&amp;venue=Mr2FEgodZ4QJ.2024" TargetMode="External"/><Relationship Id="rId12" Type="http://schemas.openxmlformats.org/officeDocument/2006/relationships/hyperlink" Target="https://dblp.org/db/conf/uai/index.html" TargetMode="External"/><Relationship Id="rId15" Type="http://schemas.openxmlformats.org/officeDocument/2006/relationships/hyperlink" Target="https://scholar.google.com/citations?hl=en&amp;view_op=list_hcore&amp;venue=mK5NIOh7kkEJ.2024" TargetMode="External"/><Relationship Id="rId14" Type="http://schemas.openxmlformats.org/officeDocument/2006/relationships/hyperlink" Target="https://dblp.org/db/conf/icaps/index.html" TargetMode="External"/><Relationship Id="rId17" Type="http://schemas.openxmlformats.org/officeDocument/2006/relationships/hyperlink" Target="https://scholar.google.com/citations?hl=en&amp;view_op=list_hcore&amp;venue=qXwIadFVNCsJ.2024" TargetMode="External"/><Relationship Id="rId16" Type="http://schemas.openxmlformats.org/officeDocument/2006/relationships/hyperlink" Target="https://dblp.org/db/conf/kr/index.html" TargetMode="External"/><Relationship Id="rId19" Type="http://schemas.openxmlformats.org/officeDocument/2006/relationships/hyperlink" Target="https://sol.sbc.org.br/index.php/bracis/index" TargetMode="External"/><Relationship Id="rId18" Type="http://schemas.openxmlformats.org/officeDocument/2006/relationships/hyperlink" Target="https://dblp.org/db/conf/bracis/index.html" TargetMode="External"/><Relationship Id="rId84" Type="http://schemas.openxmlformats.org/officeDocument/2006/relationships/hyperlink" Target="https://dblp.org/db/conf/recsys/index.html" TargetMode="External"/><Relationship Id="rId83" Type="http://schemas.openxmlformats.org/officeDocument/2006/relationships/hyperlink" Target="https://scholar.google.com/citations?hl=en&amp;view_op=list_hcore&amp;venue=-_BzfdwqRVsJ.2024" TargetMode="External"/><Relationship Id="rId86" Type="http://schemas.openxmlformats.org/officeDocument/2006/relationships/hyperlink" Target="https://dblp.org/db/conf/dmin/index.html" TargetMode="External"/><Relationship Id="rId85" Type="http://schemas.openxmlformats.org/officeDocument/2006/relationships/hyperlink" Target="https://scholar.google.com/citations?hl=en&amp;view_op=list_hcore&amp;venue=A0l3VPFKwDYJ.2024" TargetMode="External"/><Relationship Id="rId88" Type="http://schemas.openxmlformats.org/officeDocument/2006/relationships/hyperlink" Target="https://dblp.org/db/conf/icpr/index.html" TargetMode="External"/><Relationship Id="rId87" Type="http://schemas.openxmlformats.org/officeDocument/2006/relationships/hyperlink" Target="https://scholar.google.com/citations?hl=en&amp;view_op=list_hcore&amp;venue=cVHg_1PrXPkJ.2024" TargetMode="External"/><Relationship Id="rId89" Type="http://schemas.openxmlformats.org/officeDocument/2006/relationships/hyperlink" Target="https://scholar.google.com/citations?hl=en&amp;view_op=list_hcore&amp;venue=-t1SY74YlYcJ.2024" TargetMode="External"/><Relationship Id="rId80" Type="http://schemas.openxmlformats.org/officeDocument/2006/relationships/hyperlink" Target="https://scholar.google.com/citations?hl=en&amp;view_op=list_hcore&amp;venue=B_DfwWWmEnMJ.2024" TargetMode="External"/><Relationship Id="rId82" Type="http://schemas.openxmlformats.org/officeDocument/2006/relationships/hyperlink" Target="https://dblp.org/db/conf/iui/index.html" TargetMode="External"/><Relationship Id="rId81" Type="http://schemas.openxmlformats.org/officeDocument/2006/relationships/hyperlink" Target="https://scholar.google.com/citations?hl=pt-BR&amp;view_op=list_hcore&amp;venue=-_BzfdwqRVsJ.2024" TargetMode="External"/><Relationship Id="rId1" Type="http://schemas.openxmlformats.org/officeDocument/2006/relationships/hyperlink" Target="https://scholar.google.com/citations?hl=pt-BR&amp;view_op=list_hcore&amp;venue=6SgK_Z8h2_wJ.2024" TargetMode="External"/><Relationship Id="rId2" Type="http://schemas.openxmlformats.org/officeDocument/2006/relationships/hyperlink" Target="https://dblp.org/db/conf/nips/index.html" TargetMode="External"/><Relationship Id="rId3" Type="http://schemas.openxmlformats.org/officeDocument/2006/relationships/hyperlink" Target="https://scholar.google.com/citations?hl=en&amp;view_op=list_hcore&amp;venue=wL2oxc9mT4YJ.2024" TargetMode="External"/><Relationship Id="rId4" Type="http://schemas.openxmlformats.org/officeDocument/2006/relationships/hyperlink" Target="https://dblp.org/db/conf/icml/index.html" TargetMode="External"/><Relationship Id="rId9" Type="http://schemas.openxmlformats.org/officeDocument/2006/relationships/hyperlink" Target="https://scholar.google.com.br/citations?hl=pt-BR&amp;view_op=list_hcore&amp;venue=yWxsQWGuQ-sJ.2016" TargetMode="External"/><Relationship Id="rId5" Type="http://schemas.openxmlformats.org/officeDocument/2006/relationships/hyperlink" Target="https://scholar.google.com/citations?hl=en&amp;view_op=list_hcore&amp;venue=PV9sQN5dnPsJ.2024" TargetMode="External"/><Relationship Id="rId6" Type="http://schemas.openxmlformats.org/officeDocument/2006/relationships/hyperlink" Target="https://dblp.org/db/conf/aaai/index.html" TargetMode="External"/><Relationship Id="rId7" Type="http://schemas.openxmlformats.org/officeDocument/2006/relationships/hyperlink" Target="https://scholar.google.com/citations?hl=pt-BR&amp;view_op=list_hcore&amp;venue=4HxsSu0PUdYJ.2024" TargetMode="External"/><Relationship Id="rId8" Type="http://schemas.openxmlformats.org/officeDocument/2006/relationships/hyperlink" Target="https://dblp.org/db/conf/ijcai/index.html" TargetMode="External"/><Relationship Id="rId73" Type="http://schemas.openxmlformats.org/officeDocument/2006/relationships/hyperlink" Target="https://dblp.org/db/conf/eacl/index.html" TargetMode="External"/><Relationship Id="rId72" Type="http://schemas.openxmlformats.org/officeDocument/2006/relationships/hyperlink" Target="https://scholar.google.com/citations?hl=en&amp;view_op=list_hcore&amp;venue=JnFTLT-D1FUJ.2024" TargetMode="External"/><Relationship Id="rId75" Type="http://schemas.openxmlformats.org/officeDocument/2006/relationships/hyperlink" Target="https://dblp.org/db/conf/icmla/index.html" TargetMode="External"/><Relationship Id="rId74" Type="http://schemas.openxmlformats.org/officeDocument/2006/relationships/hyperlink" Target="https://scholar.google.com/citations?hl=en&amp;view_op=list_hcore&amp;venue=jv1gvzv4-LgJ.2024" TargetMode="External"/><Relationship Id="rId77" Type="http://schemas.openxmlformats.org/officeDocument/2006/relationships/hyperlink" Target="https://dblp.org/db/conf/semweb/index.html" TargetMode="External"/><Relationship Id="rId76" Type="http://schemas.openxmlformats.org/officeDocument/2006/relationships/hyperlink" Target="https://scholar.google.com/citations?hl=pt-BR&amp;view_op=list_hcore&amp;venue=AETH84_wOIQJ.2024" TargetMode="External"/><Relationship Id="rId79" Type="http://schemas.openxmlformats.org/officeDocument/2006/relationships/hyperlink" Target="https://dblp.org/db/conf/esws/index.html" TargetMode="External"/><Relationship Id="rId78" Type="http://schemas.openxmlformats.org/officeDocument/2006/relationships/hyperlink" Target="https://scholar.google.com/citations?hl=en&amp;view_op=list_hcore&amp;venue=AETH84_wOIQJ.2024" TargetMode="External"/><Relationship Id="rId71" Type="http://schemas.openxmlformats.org/officeDocument/2006/relationships/hyperlink" Target="https://dblp.org/db/conf/smc/index.html" TargetMode="External"/><Relationship Id="rId70" Type="http://schemas.openxmlformats.org/officeDocument/2006/relationships/hyperlink" Target="https://scholar.google.com/citations?hl=en&amp;view_op=list_hcore&amp;venue=I9UJ598p80sJ.2024" TargetMode="External"/><Relationship Id="rId62" Type="http://schemas.openxmlformats.org/officeDocument/2006/relationships/hyperlink" Target="https://dblp.org/db/conf/iconip/index.html" TargetMode="External"/><Relationship Id="rId61" Type="http://schemas.openxmlformats.org/officeDocument/2006/relationships/hyperlink" Target="https://scholar.google.com/citations?hl=en&amp;view_op=list_hcore&amp;venue=7SUUxQF2w2cJ.2024" TargetMode="External"/><Relationship Id="rId64" Type="http://schemas.openxmlformats.org/officeDocument/2006/relationships/hyperlink" Target="https://dblp.org/db/conf/inlg/index.html" TargetMode="External"/><Relationship Id="rId63" Type="http://schemas.openxmlformats.org/officeDocument/2006/relationships/hyperlink" Target="https://scholar.google.com/citations?hl=pt-BR&amp;view_op=list_hcore&amp;venue=WcIBEdCoDl0J.2024" TargetMode="External"/><Relationship Id="rId66" Type="http://schemas.openxmlformats.org/officeDocument/2006/relationships/hyperlink" Target="https://scholar.google.com/citations?hl=en&amp;view_op=list_hcore&amp;venue=HU8fT-f-Q8YJ.2024" TargetMode="External"/><Relationship Id="rId65" Type="http://schemas.openxmlformats.org/officeDocument/2006/relationships/hyperlink" Target="https://scholar.google.com/citations?hl=en&amp;view_op=list_hcore&amp;venue=WcIBEdCoDl0J.2024" TargetMode="External"/><Relationship Id="rId68" Type="http://schemas.openxmlformats.org/officeDocument/2006/relationships/hyperlink" Target="https://scholar.google.com/citations?hl=pt-BR&amp;view_op=list_hcore&amp;venue=I9UJ598p80sJ.2024" TargetMode="External"/><Relationship Id="rId67" Type="http://schemas.openxmlformats.org/officeDocument/2006/relationships/hyperlink" Target="https://dblp.org/db/conf/cig/index.html" TargetMode="External"/><Relationship Id="rId60" Type="http://schemas.openxmlformats.org/officeDocument/2006/relationships/hyperlink" Target="https://dblp.org/db/conf/ictai/inde" TargetMode="External"/><Relationship Id="rId69" Type="http://schemas.openxmlformats.org/officeDocument/2006/relationships/hyperlink" Target="https://dblp.org/db/conf/pakdd/index.html" TargetMode="External"/><Relationship Id="rId51" Type="http://schemas.openxmlformats.org/officeDocument/2006/relationships/hyperlink" Target="https://dblp.org/search?q=International%20Conference%20on%20Information%20Processing%20and%20Management%20of%20Uncertainty%20in%20Knowledge-Based%20Systems" TargetMode="External"/><Relationship Id="rId50" Type="http://schemas.openxmlformats.org/officeDocument/2006/relationships/hyperlink" Target="https://scholar.google.com/citations?hl=pt-BR&amp;view_op=list_hcore&amp;venue=DxTMQsOcxf0J.2024" TargetMode="External"/><Relationship Id="rId53" Type="http://schemas.openxmlformats.org/officeDocument/2006/relationships/hyperlink" Target="https://dblp.org/search?q=RoboCup%20Symposium" TargetMode="External"/><Relationship Id="rId52" Type="http://schemas.openxmlformats.org/officeDocument/2006/relationships/hyperlink" Target="https://scholar.google.com/citations?hl=en&amp;view_op=list_hcore&amp;venue=DxTMQsOcxf0J.2024" TargetMode="External"/><Relationship Id="rId55" Type="http://schemas.openxmlformats.org/officeDocument/2006/relationships/hyperlink" Target="https://dblp.org/db/conf/socs/index.html" TargetMode="External"/><Relationship Id="rId54" Type="http://schemas.openxmlformats.org/officeDocument/2006/relationships/hyperlink" Target="https://scholar.google.co.uk/citations?hl=en&amp;view_op=search_venues&amp;vq=Symposium+on+Combinatorial+Search&amp;btnG=" TargetMode="External"/><Relationship Id="rId57" Type="http://schemas.openxmlformats.org/officeDocument/2006/relationships/hyperlink" Target="https://dblp.org/db/conf/aiide/index.html" TargetMode="External"/><Relationship Id="rId56" Type="http://schemas.openxmlformats.org/officeDocument/2006/relationships/hyperlink" Target="https://scholar.google.com/citations?hl=pt-BR&amp;view_op=list_hcore&amp;venue=5m22OTMIZYcJ.2024" TargetMode="External"/><Relationship Id="rId59" Type="http://schemas.openxmlformats.org/officeDocument/2006/relationships/hyperlink" Target="https://scholar.google.com/citations?hl=pt-BR&amp;view_op=list_hcore&amp;venue=7SUUxQF2w2cJ.2024" TargetMode="External"/><Relationship Id="rId58" Type="http://schemas.openxmlformats.org/officeDocument/2006/relationships/hyperlink" Target="https://scholar.google.com/citations?hl=pt-BR&amp;view_op=list_hcore&amp;venue=n8TWwN8Kc5cJ.2023" TargetMode="External"/><Relationship Id="rId107" Type="http://schemas.openxmlformats.org/officeDocument/2006/relationships/hyperlink" Target="https://dblp.org/db/conf/kdd/index.html" TargetMode="External"/><Relationship Id="rId106" Type="http://schemas.openxmlformats.org/officeDocument/2006/relationships/hyperlink" Target="https://scholar.google.com/citations?hl=pt-BR&amp;view_op=search_venues&amp;vq=International+Conference+on+Knowledge+Discovery+and+Data+Mining&amp;btnG=" TargetMode="External"/><Relationship Id="rId105" Type="http://schemas.openxmlformats.org/officeDocument/2006/relationships/hyperlink" Target="https://dblp.org/db/conf/its/index.html" TargetMode="External"/><Relationship Id="rId104" Type="http://schemas.openxmlformats.org/officeDocument/2006/relationships/hyperlink" Target="https://scholar.google.com/citations?hl=pt-BR&amp;view_op=search_venues&amp;vq=International+Conference+on+Intelligent+Tutoring+Systems&amp;btnG=" TargetMode="External"/><Relationship Id="rId109" Type="http://schemas.openxmlformats.org/officeDocument/2006/relationships/hyperlink" Target="https://dblp.org/search?q=International+Symposium+on+Imprecise+Probabilities%3A+Theories+and+Applications" TargetMode="External"/><Relationship Id="rId108" Type="http://schemas.openxmlformats.org/officeDocument/2006/relationships/hyperlink" Target="https://scholar.google.com/citations?hl=pt-BR&amp;view_op=list_hcore&amp;venue=nbxth_NIV1wJ.2024" TargetMode="External"/><Relationship Id="rId103" Type="http://schemas.openxmlformats.org/officeDocument/2006/relationships/hyperlink" Target="https://scholar.google.com/citations?hl=pt-BR&amp;view_op=search_venues&amp;vq=Artificial+Intelligence+in+Education+Conference&amp;btnG=" TargetMode="External"/><Relationship Id="rId102" Type="http://schemas.openxmlformats.org/officeDocument/2006/relationships/hyperlink" Target="https://dblp.org/db/conf/iclr/index.html" TargetMode="External"/><Relationship Id="rId101" Type="http://schemas.openxmlformats.org/officeDocument/2006/relationships/hyperlink" Target="https://scholar.google.com/citations?hl=pt-BR&amp;view_op=list_hcore&amp;venue=0032SoU2xY4J.2024" TargetMode="External"/><Relationship Id="rId100" Type="http://schemas.openxmlformats.org/officeDocument/2006/relationships/hyperlink" Target="https://dblp.org/db/conf/naacl/index.html" TargetMode="External"/><Relationship Id="rId121" Type="http://schemas.openxmlformats.org/officeDocument/2006/relationships/hyperlink" Target="https://dblp.org/db/conf/sbsi/index.html" TargetMode="External"/><Relationship Id="rId120" Type="http://schemas.openxmlformats.org/officeDocument/2006/relationships/hyperlink" Target="https://scholar.google.com/citations?hl=pt-BR&amp;view_op=list_hcore&amp;venue=2ENJOr-ESPQJ.2024" TargetMode="External"/><Relationship Id="rId122" Type="http://schemas.openxmlformats.org/officeDocument/2006/relationships/drawing" Target="../drawings/drawing17.xml"/><Relationship Id="rId95" Type="http://schemas.openxmlformats.org/officeDocument/2006/relationships/hyperlink" Target="https://scholar.google.com/citations?hl=en&amp;view_op=list_hcore&amp;venue=ThxTsNVxvT8J.2024" TargetMode="External"/><Relationship Id="rId94" Type="http://schemas.openxmlformats.org/officeDocument/2006/relationships/hyperlink" Target="https://dblp.org/db/conf/cikm/index.html" TargetMode="External"/><Relationship Id="rId97" Type="http://schemas.openxmlformats.org/officeDocument/2006/relationships/hyperlink" Target="https://scholar.google.com/citations?hl=en&amp;view_op=list_hcore&amp;venue=Z88T8Kej-9oJ.2024" TargetMode="External"/><Relationship Id="rId96" Type="http://schemas.openxmlformats.org/officeDocument/2006/relationships/hyperlink" Target="https://dblp.org/db/conf/cec/index.html" TargetMode="External"/><Relationship Id="rId99" Type="http://schemas.openxmlformats.org/officeDocument/2006/relationships/hyperlink" Target="https://scholar.google.com/citations?hl=pt-BR&amp;view_op=list_hcore&amp;venue=ORSK3meVbY4J.2023" TargetMode="External"/><Relationship Id="rId98" Type="http://schemas.openxmlformats.org/officeDocument/2006/relationships/hyperlink" Target="https://dblp.org/db/conf/icra/index.html" TargetMode="External"/><Relationship Id="rId91" Type="http://schemas.openxmlformats.org/officeDocument/2006/relationships/hyperlink" Target="https://scholar.google.com/citations?hl=pt-BR&amp;view_op=list_hcore&amp;venue=6AfzgED5a7MJ.2024" TargetMode="External"/><Relationship Id="rId90" Type="http://schemas.openxmlformats.org/officeDocument/2006/relationships/hyperlink" Target="https://dblp.org/db/conf/ijcnn/index.html" TargetMode="External"/><Relationship Id="rId93" Type="http://schemas.openxmlformats.org/officeDocument/2006/relationships/hyperlink" Target="https://scholar.google.com/citations?hl=en&amp;view_op=list_hcore&amp;venue=6AfzgED5a7MJ.2024" TargetMode="External"/><Relationship Id="rId92" Type="http://schemas.openxmlformats.org/officeDocument/2006/relationships/hyperlink" Target="https://dblp.org/db/conf/coling/index.html" TargetMode="External"/><Relationship Id="rId118" Type="http://schemas.openxmlformats.org/officeDocument/2006/relationships/hyperlink" Target="https://dblp.org/db/conf/ilp/index.html" TargetMode="External"/><Relationship Id="rId117" Type="http://schemas.openxmlformats.org/officeDocument/2006/relationships/hyperlink" Target="https://dblp.org/db/conf/sac/index.html" TargetMode="External"/><Relationship Id="rId116" Type="http://schemas.openxmlformats.org/officeDocument/2006/relationships/hyperlink" Target="https://scholar.google.com/citations?hl=en&amp;view_op=list_hcore&amp;venue=eLhWa3qzEDsJ.2024" TargetMode="External"/><Relationship Id="rId115" Type="http://schemas.openxmlformats.org/officeDocument/2006/relationships/hyperlink" Target="https://dblp.org/db/conf/ida/index.html" TargetMode="External"/><Relationship Id="rId119" Type="http://schemas.openxmlformats.org/officeDocument/2006/relationships/hyperlink" Target="https://dblp.org/db/conf/acl/index.html" TargetMode="External"/><Relationship Id="rId110" Type="http://schemas.openxmlformats.org/officeDocument/2006/relationships/hyperlink" Target="https://dblp.org/db/conf/larc/index.html" TargetMode="External"/><Relationship Id="rId114" Type="http://schemas.openxmlformats.org/officeDocument/2006/relationships/hyperlink" Target="https://dblp.org/db/conf/aiia/index.html" TargetMode="External"/><Relationship Id="rId113" Type="http://schemas.openxmlformats.org/officeDocument/2006/relationships/hyperlink" Target="https://sol.sbc.org.br/index.php/kdmile/" TargetMode="External"/><Relationship Id="rId112" Type="http://schemas.openxmlformats.org/officeDocument/2006/relationships/hyperlink" Target="https://scholar.google.com/citations?hl=pt-BR&amp;view_op=list_hcore&amp;venue=ktOlY8k93VoJ.2024" TargetMode="External"/><Relationship Id="rId111" Type="http://schemas.openxmlformats.org/officeDocument/2006/relationships/hyperlink" Target="https://dblp.org/search?q=Brazilian+Symposium+on+Robotics" TargetMode="External"/></Relationships>
</file>

<file path=xl/worksheets/_rels/sheet18.xml.rels><?xml version="1.0" encoding="UTF-8" standalone="yes"?><Relationships xmlns="http://schemas.openxmlformats.org/package/2006/relationships"><Relationship Id="rId40" Type="http://schemas.openxmlformats.org/officeDocument/2006/relationships/hyperlink" Target="https://dblp.org/db/conf/ictai/index.html" TargetMode="External"/><Relationship Id="rId42" Type="http://schemas.openxmlformats.org/officeDocument/2006/relationships/hyperlink" Target="https://dblp.org/db/conf/iclr/index.html" TargetMode="External"/><Relationship Id="rId41" Type="http://schemas.openxmlformats.org/officeDocument/2006/relationships/hyperlink" Target="https://scholar.google.com.br/citations?hl=pt-BR&amp;vq=eng_artificialintelligence&amp;view_op=list_hcore&amp;venue=0032SoU2xY4J.2024" TargetMode="External"/><Relationship Id="rId44" Type="http://schemas.openxmlformats.org/officeDocument/2006/relationships/hyperlink" Target="https://dblp.org/db/conf/icra/index.html" TargetMode="External"/><Relationship Id="rId43" Type="http://schemas.openxmlformats.org/officeDocument/2006/relationships/hyperlink" Target="https://scholar.google.com/citations?hl=en&amp;view_op=list_hcore&amp;venue=Z88T8Kej-9oJ.2024" TargetMode="External"/><Relationship Id="rId46" Type="http://schemas.openxmlformats.org/officeDocument/2006/relationships/hyperlink" Target="https://dblp.org/db/conf/iros/index.html" TargetMode="External"/><Relationship Id="rId45" Type="http://schemas.openxmlformats.org/officeDocument/2006/relationships/hyperlink" Target="https://scholar.google.com/citations?hl=en&amp;vq=eng_robotics&amp;view_op=list_hcore&amp;venue=QZ31s4XlF8EJ.2024" TargetMode="External"/><Relationship Id="rId48" Type="http://schemas.openxmlformats.org/officeDocument/2006/relationships/hyperlink" Target="https://dblp.org/db/conf/bigdataconf/index.html" TargetMode="External"/><Relationship Id="rId47" Type="http://schemas.openxmlformats.org/officeDocument/2006/relationships/hyperlink" Target="https://scholar.google.com.br/citations?hl=pt-BR&amp;view_op=list_hcore&amp;venue=5qcbaE0D5owJ.2024" TargetMode="External"/><Relationship Id="rId49" Type="http://schemas.openxmlformats.org/officeDocument/2006/relationships/hyperlink" Target="https://scholar.google.com.br/citations?hl=pt-BR&amp;vq=eng_datamininganalysis&amp;view_op=list_hcore&amp;venue=4-w_STT7RmEJ.2024" TargetMode="External"/><Relationship Id="rId31" Type="http://schemas.openxmlformats.org/officeDocument/2006/relationships/hyperlink" Target="https://scholar.google.com.br/citations?hl=pt-BR&amp;view_op=list_hcore&amp;venue=jv1gvzv4-LgJ.2024" TargetMode="External"/><Relationship Id="rId30" Type="http://schemas.openxmlformats.org/officeDocument/2006/relationships/hyperlink" Target="https://dblp.org/db/conf/atal/index.html" TargetMode="External"/><Relationship Id="rId33" Type="http://schemas.openxmlformats.org/officeDocument/2006/relationships/hyperlink" Target="https://scholar.google.com.br/citations?hl=pt-BR&amp;vq=eng_datamininganalysis&amp;view_op=list_hcore&amp;venue=eM05sD1nEv4J.2024" TargetMode="External"/><Relationship Id="rId32" Type="http://schemas.openxmlformats.org/officeDocument/2006/relationships/hyperlink" Target="https://dblp.org/db/conf/icmla/index.html" TargetMode="External"/><Relationship Id="rId35" Type="http://schemas.openxmlformats.org/officeDocument/2006/relationships/hyperlink" Target="https://scholar.google.com.br/citations?hl=pt-BR&amp;vq=eng_datamininganalysis&amp;view_op=list_hcore&amp;venue=I9UJ598p80sJ.2024" TargetMode="External"/><Relationship Id="rId34" Type="http://schemas.openxmlformats.org/officeDocument/2006/relationships/hyperlink" Target="https://dblp.org/db/conf/sdm/index.html" TargetMode="External"/><Relationship Id="rId37" Type="http://schemas.openxmlformats.org/officeDocument/2006/relationships/hyperlink" Target="https://scholar.google.com.br/citations?hl=pt-BR&amp;view_op=list_hcore&amp;venue=Tt40B1pBgEEJ.2024" TargetMode="External"/><Relationship Id="rId36" Type="http://schemas.openxmlformats.org/officeDocument/2006/relationships/hyperlink" Target="https://dblp.org/db/conf/pakdd/index.html" TargetMode="External"/><Relationship Id="rId39" Type="http://schemas.openxmlformats.org/officeDocument/2006/relationships/hyperlink" Target="https://scholar.google.com/citations?hl=pt-BR&amp;view_op=list_hcore&amp;venue=7SUUxQF2w2cJ.2024" TargetMode="External"/><Relationship Id="rId38" Type="http://schemas.openxmlformats.org/officeDocument/2006/relationships/hyperlink" Target="https://dblp.org/db/conf/icann/index.html" TargetMode="External"/><Relationship Id="rId20" Type="http://schemas.openxmlformats.org/officeDocument/2006/relationships/hyperlink" Target="https://sol.sbc.org.br/index.php/eniac/issue/archive" TargetMode="External"/><Relationship Id="rId22" Type="http://schemas.openxmlformats.org/officeDocument/2006/relationships/hyperlink" Target="https://dblp.org/db/conf/aaai/index.html" TargetMode="External"/><Relationship Id="rId21" Type="http://schemas.openxmlformats.org/officeDocument/2006/relationships/hyperlink" Target="https://scholar.google.com.br/citations?hl=pt-BR&amp;vq=eng_artificialintelligence&amp;view_op=list_hcore&amp;venue=PV9sQN5dnPsJ.2024" TargetMode="External"/><Relationship Id="rId24" Type="http://schemas.openxmlformats.org/officeDocument/2006/relationships/hyperlink" Target="https://dblp.org/db/conf/ijcai/index.html" TargetMode="External"/><Relationship Id="rId23" Type="http://schemas.openxmlformats.org/officeDocument/2006/relationships/hyperlink" Target="https://scholar.google.com.br/citations?view_op=top_venues&amp;hl=pt-BR&amp;vq=eng_artificialintelligence" TargetMode="External"/><Relationship Id="rId26" Type="http://schemas.openxmlformats.org/officeDocument/2006/relationships/hyperlink" Target="https://dblp.org/db/conf/kdd/index.html" TargetMode="External"/><Relationship Id="rId25" Type="http://schemas.openxmlformats.org/officeDocument/2006/relationships/hyperlink" Target="https://scholar.google.com.br/citations?hl=pt-BR&amp;vq=eng_datamininganalysis&amp;view_op=list_hcore&amp;venue=DxPOk84pRIIJ.2024" TargetMode="External"/><Relationship Id="rId28" Type="http://schemas.openxmlformats.org/officeDocument/2006/relationships/hyperlink" Target="https://dblp.org/db/conf/aistats/index.html" TargetMode="External"/><Relationship Id="rId27" Type="http://schemas.openxmlformats.org/officeDocument/2006/relationships/hyperlink" Target="https://scholar.google.com.br/citations?hl=pt-BR&amp;vq=eng_datamininganalysis&amp;view_op=list_hcore&amp;venue=PhcE9OLs0MUJ.2024" TargetMode="External"/><Relationship Id="rId29" Type="http://schemas.openxmlformats.org/officeDocument/2006/relationships/hyperlink" Target="https://scholar.google.com.br/citations?hl=pt-BR&amp;view_op=list_hcore&amp;venue=xLfkTVI4LkMJ.2024" TargetMode="External"/><Relationship Id="rId11" Type="http://schemas.openxmlformats.org/officeDocument/2006/relationships/hyperlink" Target="https://scholar.google.com.br/citations?hl=pt-BR&amp;view_op=list_hcore&amp;venue=pQVER_ii7sMJ.2024" TargetMode="External"/><Relationship Id="rId10" Type="http://schemas.openxmlformats.org/officeDocument/2006/relationships/hyperlink" Target="https://dblp.org/db/conf/icdm/index.html" TargetMode="External"/><Relationship Id="rId13" Type="http://schemas.openxmlformats.org/officeDocument/2006/relationships/hyperlink" Target="https://scholar.google.com.br/citations?hl=pt-BR&amp;vq=eng_datamininganalysis&amp;view_op=list_hcore&amp;venue=B_DfwWWmEnMJ.2024" TargetMode="External"/><Relationship Id="rId12" Type="http://schemas.openxmlformats.org/officeDocument/2006/relationships/hyperlink" Target="https://dblp.org/db/conf/gecco/index.html" TargetMode="External"/><Relationship Id="rId15" Type="http://schemas.openxmlformats.org/officeDocument/2006/relationships/hyperlink" Target="https://scholar.google.com.br/citations?hl=pt-BR&amp;view_op=list_hcore&amp;venue=sateOX2Ni50J.2024" TargetMode="External"/><Relationship Id="rId14" Type="http://schemas.openxmlformats.org/officeDocument/2006/relationships/hyperlink" Target="https://dblp.org/db/conf/ecml/index.html" TargetMode="External"/><Relationship Id="rId17" Type="http://schemas.openxmlformats.org/officeDocument/2006/relationships/hyperlink" Target="https://scholar.google.com/citations?hl=en&amp;view_op=list_hcore&amp;venue=qXwIadFVNCsJ.2024" TargetMode="External"/><Relationship Id="rId16" Type="http://schemas.openxmlformats.org/officeDocument/2006/relationships/hyperlink" Target="https://dblp.org/db/conf/fuzzIEEE/index.html" TargetMode="External"/><Relationship Id="rId19" Type="http://schemas.openxmlformats.org/officeDocument/2006/relationships/hyperlink" Target="https://scholar.google.com.br/citations?hl=pt-BR&amp;view_op=list_hcore&amp;venue=DoEKONL9f1YJ.2024" TargetMode="External"/><Relationship Id="rId18" Type="http://schemas.openxmlformats.org/officeDocument/2006/relationships/hyperlink" Target="https://dblp.org/db/conf/bracis/index.html" TargetMode="External"/><Relationship Id="rId1" Type="http://schemas.openxmlformats.org/officeDocument/2006/relationships/hyperlink" Target="https://scholar.google.com/citations?hl=en&amp;view_op=search_venues&amp;vq=Neural+Information+Processing+Systems&amp;btnG=" TargetMode="External"/><Relationship Id="rId2" Type="http://schemas.openxmlformats.org/officeDocument/2006/relationships/hyperlink" Target="https://dblp.org/db/conf/nips/index.html" TargetMode="External"/><Relationship Id="rId3" Type="http://schemas.openxmlformats.org/officeDocument/2006/relationships/hyperlink" Target="https://scholar.google.com.br/citations?hl=pt-BR&amp;vq=eng_artificialintelligence&amp;view_op=list_hcore&amp;venue=wL2oxc9mT4YJ.2024" TargetMode="External"/><Relationship Id="rId4" Type="http://schemas.openxmlformats.org/officeDocument/2006/relationships/hyperlink" Target="https://dblp.org/db/conf/icml/index.html" TargetMode="External"/><Relationship Id="rId9" Type="http://schemas.openxmlformats.org/officeDocument/2006/relationships/hyperlink" Target="https://scholar.google.com.br/citations?hl=pt-BR&amp;vq=eng_datamininganalysis&amp;view_op=list_hcore&amp;venue=A0l3VPFKwDYJ.2024" TargetMode="External"/><Relationship Id="rId5" Type="http://schemas.openxmlformats.org/officeDocument/2006/relationships/hyperlink" Target="https://scholar.google.com/citations?hl=en&amp;view_op=list_hcore&amp;venue=ThxTsNVxvT8J.2024" TargetMode="External"/><Relationship Id="rId6" Type="http://schemas.openxmlformats.org/officeDocument/2006/relationships/hyperlink" Target="https://dblp.org/db/conf/cec/index.html" TargetMode="External"/><Relationship Id="rId7" Type="http://schemas.openxmlformats.org/officeDocument/2006/relationships/hyperlink" Target="https://scholar.google.com.br/citations?hl=pt-BR&amp;view_op=list_hcore&amp;venue=-t1SY74YlYcJ.2024" TargetMode="External"/><Relationship Id="rId8" Type="http://schemas.openxmlformats.org/officeDocument/2006/relationships/hyperlink" Target="https://dblp.org/db/conf/ijcnn/index.html" TargetMode="External"/><Relationship Id="rId62" Type="http://schemas.openxmlformats.org/officeDocument/2006/relationships/hyperlink" Target="https://dblp.org/db/conf/his/index.html" TargetMode="External"/><Relationship Id="rId61" Type="http://schemas.openxmlformats.org/officeDocument/2006/relationships/hyperlink" Target="https://scholar.google.com/citations?hl=en&amp;view_op=list_hcore&amp;venue=hF3Mhj6UPToJ.2024" TargetMode="External"/><Relationship Id="rId64" Type="http://schemas.openxmlformats.org/officeDocument/2006/relationships/hyperlink" Target="https://dblp.org/db/conf/ipmu/index.html" TargetMode="External"/><Relationship Id="rId63" Type="http://schemas.openxmlformats.org/officeDocument/2006/relationships/hyperlink" Target="https://scholar.google.com.br/citations?hl=pt-BR&amp;view_op=list_hcore&amp;venue=DxTMQsOcxf0J.2024" TargetMode="External"/><Relationship Id="rId66" Type="http://schemas.openxmlformats.org/officeDocument/2006/relationships/hyperlink" Target="https://dblp.org/db/conf/lacci/index.html" TargetMode="External"/><Relationship Id="rId65" Type="http://schemas.openxmlformats.org/officeDocument/2006/relationships/hyperlink" Target="https://scholar.google.com/citations?hl=en&amp;view_op=list_hcore&amp;venue=MQjh4nsifjAJ.2024" TargetMode="External"/><Relationship Id="rId67" Type="http://schemas.openxmlformats.org/officeDocument/2006/relationships/drawing" Target="../drawings/drawing18.xml"/><Relationship Id="rId60" Type="http://schemas.openxmlformats.org/officeDocument/2006/relationships/hyperlink" Target="https://dblp.org/db/conf/epia/index.html" TargetMode="External"/><Relationship Id="rId51" Type="http://schemas.openxmlformats.org/officeDocument/2006/relationships/hyperlink" Target="https://scholar.google.com.br/citations?hl=pt-BR&amp;view_op=list_hcore&amp;venue=ryLBm7fgHNMJ.2024" TargetMode="External"/><Relationship Id="rId50" Type="http://schemas.openxmlformats.org/officeDocument/2006/relationships/hyperlink" Target="https://dblp.org/db/conf/recsys/index.html" TargetMode="External"/><Relationship Id="rId53" Type="http://schemas.openxmlformats.org/officeDocument/2006/relationships/hyperlink" Target="https://scholar.google.com/citations?hl=en&amp;view_op=list_hcore&amp;venue=I9UJ598p80sJ.2024" TargetMode="External"/><Relationship Id="rId52" Type="http://schemas.openxmlformats.org/officeDocument/2006/relationships/hyperlink" Target="https://dblp.org/db/conf/ecai/index.html" TargetMode="External"/><Relationship Id="rId55" Type="http://schemas.openxmlformats.org/officeDocument/2006/relationships/hyperlink" Target="https://scholar.google.com/citations?hl=en&amp;view_op=list_hcore&amp;venue=c3DqEnruQwEJ.2024" TargetMode="External"/><Relationship Id="rId54" Type="http://schemas.openxmlformats.org/officeDocument/2006/relationships/hyperlink" Target="https://dblp.org/db/conf/smc/index.html" TargetMode="External"/><Relationship Id="rId57" Type="http://schemas.openxmlformats.org/officeDocument/2006/relationships/hyperlink" Target="https://scholar.google.com/citations?hl=en&amp;view_op=list_hcore&amp;venue=sz4vWIwy-_cJ.2024" TargetMode="External"/><Relationship Id="rId56" Type="http://schemas.openxmlformats.org/officeDocument/2006/relationships/hyperlink" Target="https://dblp.org/db/conf/ssci/index.html" TargetMode="External"/><Relationship Id="rId59" Type="http://schemas.openxmlformats.org/officeDocument/2006/relationships/hyperlink" Target="https://scholar.google.com/citations?hl=en&amp;view_op=list_hcore&amp;venue=SDrbTPLn2T0J.2024" TargetMode="External"/><Relationship Id="rId58" Type="http://schemas.openxmlformats.org/officeDocument/2006/relationships/hyperlink" Target="https://dblp.org/db/conf/iconip/index.html" TargetMode="External"/></Relationships>
</file>

<file path=xl/worksheets/_rels/sheet19.xml.rels><?xml version="1.0" encoding="UTF-8" standalone="yes"?><Relationships xmlns="http://schemas.openxmlformats.org/package/2006/relationships"><Relationship Id="rId40" Type="http://schemas.openxmlformats.org/officeDocument/2006/relationships/hyperlink" Target="https://dblp.org/db/conf/eics/index.html" TargetMode="External"/><Relationship Id="rId190" Type="http://schemas.openxmlformats.org/officeDocument/2006/relationships/hyperlink" Target="https://sol.sbc.org.br/index.php/capaihc/issue/archive" TargetMode="External"/><Relationship Id="rId42" Type="http://schemas.openxmlformats.org/officeDocument/2006/relationships/hyperlink" Target="https://dblp.org/db/conf/hicss/index.html" TargetMode="External"/><Relationship Id="rId41" Type="http://schemas.openxmlformats.org/officeDocument/2006/relationships/hyperlink" Target="https://scholar.google.com/citations?hl=en&amp;view_op=list_hcore&amp;venue=6wBd043QhTIJ.2024" TargetMode="External"/><Relationship Id="rId44" Type="http://schemas.openxmlformats.org/officeDocument/2006/relationships/hyperlink" Target="https://dblp.org/db/conf/recsys/index.html" TargetMode="External"/><Relationship Id="rId194" Type="http://schemas.openxmlformats.org/officeDocument/2006/relationships/hyperlink" Target="https://sol.sbc.org.br/index.php/washes/issue/archive" TargetMode="External"/><Relationship Id="rId43" Type="http://schemas.openxmlformats.org/officeDocument/2006/relationships/hyperlink" Target="https://scholar.google.com/citations?hl=en&amp;view_op=list_hcore&amp;venue=4-w_STT7RmEJ.2024" TargetMode="External"/><Relationship Id="rId193" Type="http://schemas.openxmlformats.org/officeDocument/2006/relationships/hyperlink" Target="https://scholar.google.com/scholar?hl=pt-BR&amp;as_sdt=0%2C5&amp;as_ylo=2020&amp;as_yhi=2024&amp;q=%22Workshop+sobre+Aspectos+Sociais%2C+Humanos+e+Econ%C3%B4micos+de+Software%22&amp;btnG=" TargetMode="External"/><Relationship Id="rId46" Type="http://schemas.openxmlformats.org/officeDocument/2006/relationships/hyperlink" Target="https://dblp.org/db/conf/hci/index.html" TargetMode="External"/><Relationship Id="rId192" Type="http://schemas.openxmlformats.org/officeDocument/2006/relationships/hyperlink" Target="https://dblp.org/db/conf/ht/index.html" TargetMode="External"/><Relationship Id="rId45" Type="http://schemas.openxmlformats.org/officeDocument/2006/relationships/hyperlink" Target="https://scholar.google.com/citations?hl=en&amp;vq=eng_humancomputerinteraction&amp;view_op=list_hcore&amp;venue=v05i1s2aH5wJ.2024" TargetMode="External"/><Relationship Id="rId191" Type="http://schemas.openxmlformats.org/officeDocument/2006/relationships/hyperlink" Target="https://scholar.google.com/scholar?hl=pt-BR&amp;as_sdt=0%2C5&amp;as_ylo=2020&amp;as_yhi=2024&amp;q=%22ACM+Hypertext+Conference+%2F+Hipertext%22&amp;btnG=" TargetMode="External"/><Relationship Id="rId48" Type="http://schemas.openxmlformats.org/officeDocument/2006/relationships/hyperlink" Target="https://dblp.org/db/conf/sac/index.html" TargetMode="External"/><Relationship Id="rId187" Type="http://schemas.openxmlformats.org/officeDocument/2006/relationships/hyperlink" Target="https://scholar.google.com/scholar?hl=pt-BR&amp;as_sdt=0%2C5&amp;as_ylo=2020&amp;as_yhi=2024&amp;q=%22Workshop+on+Interactions+with+Human+Experiences%22&amp;btnG=" TargetMode="External"/><Relationship Id="rId47" Type="http://schemas.openxmlformats.org/officeDocument/2006/relationships/hyperlink" Target="https://scholar.google.com/citations?hl=en&amp;view_op=list_hcore&amp;venue=eLhWa3qzEDsJ.2024" TargetMode="External"/><Relationship Id="rId186" Type="http://schemas.openxmlformats.org/officeDocument/2006/relationships/hyperlink" Target="https://sol.sbc.org.br/index.php/wiplay/issue/archive" TargetMode="External"/><Relationship Id="rId185" Type="http://schemas.openxmlformats.org/officeDocument/2006/relationships/hyperlink" Target="https://scholar.google.com/scholar?hl=pt-BR&amp;as_sdt=0%2C5&amp;as_ylo=2020&amp;as_yhi=2024&amp;q=%22Workshop+sobre+Intera%C3%A7%C3%A3o+e+Pesquisa+de+Usu%C3%A1rios+no+Desenvolvimento+de+Jogos%22&amp;btnG=" TargetMode="External"/><Relationship Id="rId49" Type="http://schemas.openxmlformats.org/officeDocument/2006/relationships/hyperlink" Target="https://scholar.google.com/citations?hl=en&amp;view_op=list_hcore&amp;venue=saKKhfQeF-MJ.2024" TargetMode="External"/><Relationship Id="rId184" Type="http://schemas.openxmlformats.org/officeDocument/2006/relationships/hyperlink" Target="https://sol.sbc.org.br/index.php/weihc/issue/archive" TargetMode="External"/><Relationship Id="rId189" Type="http://schemas.openxmlformats.org/officeDocument/2006/relationships/hyperlink" Target="https://scholar.google.com/scholar?hl=pt-BR&amp;as_sdt=0%2C5&amp;as_ylo=2020&amp;as_yhi=2024&amp;q=%22Workshop+CAPA+-+Culturas%2C+Alteridades+e+Participa%C3%A7%C3%B5es+em+IHC%22&amp;btnG=" TargetMode="External"/><Relationship Id="rId188" Type="http://schemas.openxmlformats.org/officeDocument/2006/relationships/hyperlink" Target="https://sol.sbc.org.br/index.php/wide/issue/archive" TargetMode="External"/><Relationship Id="rId31" Type="http://schemas.openxmlformats.org/officeDocument/2006/relationships/hyperlink" Target="https://dblp.org/db/conf/tei/index.html" TargetMode="External"/><Relationship Id="rId30" Type="http://schemas.openxmlformats.org/officeDocument/2006/relationships/hyperlink" Target="https://scholar.google.com/citations?hl=en&amp;vq=eng_humancomputerinteraction&amp;view_op=list_hcore&amp;venue=KRPnqF5qBUgJ.2024" TargetMode="External"/><Relationship Id="rId33" Type="http://schemas.openxmlformats.org/officeDocument/2006/relationships/hyperlink" Target="https://dblp.org/db/conf/cscw/index.html" TargetMode="External"/><Relationship Id="rId183" Type="http://schemas.openxmlformats.org/officeDocument/2006/relationships/hyperlink" Target="https://dblp.org/search?q=weihc" TargetMode="External"/><Relationship Id="rId32" Type="http://schemas.openxmlformats.org/officeDocument/2006/relationships/hyperlink" Target="https://scholar.google.com/citations?hl=en&amp;vq=eng_humancomputerinteraction&amp;view_op=list_hcore&amp;venue=kXowlNFROIgJ.2024" TargetMode="External"/><Relationship Id="rId182" Type="http://schemas.openxmlformats.org/officeDocument/2006/relationships/hyperlink" Target="https://scholar.google.com/scholar?hl=pt-BR&amp;as_sdt=0%2C5&amp;as_ylo=2020&amp;as_yhi=2024&amp;q=%22Workshop+sobre+Educa%C3%A7%C3%A3o+em+IHC%22&amp;btnG=" TargetMode="External"/><Relationship Id="rId35" Type="http://schemas.openxmlformats.org/officeDocument/2006/relationships/hyperlink" Target="https://dblp.org/db/conf/pdc/index.html" TargetMode="External"/><Relationship Id="rId181" Type="http://schemas.openxmlformats.org/officeDocument/2006/relationships/hyperlink" Target="https://dblp.org/db/conf/aaate/index.html" TargetMode="External"/><Relationship Id="rId34" Type="http://schemas.openxmlformats.org/officeDocument/2006/relationships/hyperlink" Target="https://scholar.google.com/citations?hl=en&amp;view_op=list_hcore&amp;venue=-nBNAaWmWB0J.2024" TargetMode="External"/><Relationship Id="rId180" Type="http://schemas.openxmlformats.org/officeDocument/2006/relationships/hyperlink" Target="https://scholar.google.com/scholar?hl=pt-BR&amp;as_sdt=0%2C5&amp;as_ylo=2020&amp;as_yhi=2024&amp;q=%22Association+for+the+Advancement+of+Assistive+Technology+in+Europe+Conference%22&amp;btnG=" TargetMode="External"/><Relationship Id="rId37" Type="http://schemas.openxmlformats.org/officeDocument/2006/relationships/hyperlink" Target="https://dblp.org/db/conf/ozchi/index.html" TargetMode="External"/><Relationship Id="rId176" Type="http://schemas.openxmlformats.org/officeDocument/2006/relationships/hyperlink" Target="https://scholar.google.com/scholar?hl=pt-BR&amp;as_sdt=0%2C5&amp;as_ylo=2020&amp;as_yhi=2024&amp;q=%22International+Working+Conference+on+Human-Centered+Software+Engineering%22&amp;btnG=" TargetMode="External"/><Relationship Id="rId36" Type="http://schemas.openxmlformats.org/officeDocument/2006/relationships/hyperlink" Target="https://scholar.google.com/citations?hl=en&amp;view_op=list_hcore&amp;venue=OZvZzNUF9W0J.2024" TargetMode="External"/><Relationship Id="rId175" Type="http://schemas.openxmlformats.org/officeDocument/2006/relationships/hyperlink" Target="https://dblp.org/db/conf/la-web/index.html" TargetMode="External"/><Relationship Id="rId39" Type="http://schemas.openxmlformats.org/officeDocument/2006/relationships/hyperlink" Target="https://dblp.org/db/conf/cscwd/index.html" TargetMode="External"/><Relationship Id="rId174" Type="http://schemas.openxmlformats.org/officeDocument/2006/relationships/hyperlink" Target="https://scholar.google.com/scholar?hl=pt-BR&amp;as_sdt=0%2C5&amp;as_ylo=2020&amp;as_yhi=2024&amp;q=%22Latin+American+Web+Congress%22&amp;btnG=" TargetMode="External"/><Relationship Id="rId38" Type="http://schemas.openxmlformats.org/officeDocument/2006/relationships/hyperlink" Target="https://scholar.google.com.br/citations?hl=pt-BR&amp;view_op=list_hcore&amp;venue=sdDHdOPrCVwJ.2024" TargetMode="External"/><Relationship Id="rId173" Type="http://schemas.openxmlformats.org/officeDocument/2006/relationships/hyperlink" Target="https://dblp.org/db/conf/egovis/index.html" TargetMode="External"/><Relationship Id="rId179" Type="http://schemas.openxmlformats.org/officeDocument/2006/relationships/hyperlink" Target="https://dblp.org/db/conf/si3d/index.html" TargetMode="External"/><Relationship Id="rId178" Type="http://schemas.openxmlformats.org/officeDocument/2006/relationships/hyperlink" Target="https://scholar.google.com/scholar?hl=pt-BR&amp;as_sdt=0%2C5&amp;as_ylo=2020&amp;as_yhi=2024&amp;q=%22Symposium+on+Interactive+3D+Graphics+and+Games%22&amp;btnG=" TargetMode="External"/><Relationship Id="rId177" Type="http://schemas.openxmlformats.org/officeDocument/2006/relationships/hyperlink" Target="https://dblp.org/db/conf/hcse/index.html" TargetMode="External"/><Relationship Id="rId20" Type="http://schemas.openxmlformats.org/officeDocument/2006/relationships/hyperlink" Target="https://dblp.org/db/conf/ihc/index.html" TargetMode="External"/><Relationship Id="rId22" Type="http://schemas.openxmlformats.org/officeDocument/2006/relationships/hyperlink" Target="https://scholar.google.com/citations?hl=en&amp;view_op=list_hcore&amp;venue=ywdGSlWdBhkJ.2024" TargetMode="External"/><Relationship Id="rId21" Type="http://schemas.openxmlformats.org/officeDocument/2006/relationships/hyperlink" Target="https://sol.sbc.org.br/index.php/ihc" TargetMode="External"/><Relationship Id="rId24" Type="http://schemas.openxmlformats.org/officeDocument/2006/relationships/hyperlink" Target="https://scholar.google.com/citations?hl=en&amp;vq=eng_humancomputerinteraction&amp;view_op=list_hcore&amp;venue=FeNM07eYolwJ.2024" TargetMode="External"/><Relationship Id="rId23" Type="http://schemas.openxmlformats.org/officeDocument/2006/relationships/hyperlink" Target="https://dblp.org/db/conf/hri/index.html" TargetMode="External"/><Relationship Id="rId26" Type="http://schemas.openxmlformats.org/officeDocument/2006/relationships/hyperlink" Target="https://scholar.google.com/citations?hl=en&amp;view_op=list_hcore&amp;venue=yHxohuW00noJ.2024" TargetMode="External"/><Relationship Id="rId25" Type="http://schemas.openxmlformats.org/officeDocument/2006/relationships/hyperlink" Target="https://dblp.org/db/conf/icmi/index.html" TargetMode="External"/><Relationship Id="rId28" Type="http://schemas.openxmlformats.org/officeDocument/2006/relationships/hyperlink" Target="https://scholar.google.com/citations?hl=en&amp;view_op=list_hcore&amp;venue=WNLxUj5tg3gJ.2024" TargetMode="External"/><Relationship Id="rId27" Type="http://schemas.openxmlformats.org/officeDocument/2006/relationships/hyperlink" Target="https://dblp.org/db/conf/ro-man/index.html" TargetMode="External"/><Relationship Id="rId29" Type="http://schemas.openxmlformats.org/officeDocument/2006/relationships/hyperlink" Target="https://dblp.org/db/conf/chiplay/index.html" TargetMode="External"/><Relationship Id="rId11" Type="http://schemas.openxmlformats.org/officeDocument/2006/relationships/hyperlink" Target="https://scholar.google.com/citations?hl=en&amp;view_op=list_hcore&amp;venue=c5bgEi18VesJ.2024" TargetMode="External"/><Relationship Id="rId10" Type="http://schemas.openxmlformats.org/officeDocument/2006/relationships/hyperlink" Target="https://dblp.org/db/conf/acmidc/index.html" TargetMode="External"/><Relationship Id="rId13" Type="http://schemas.openxmlformats.org/officeDocument/2006/relationships/hyperlink" Target="https://scholar.google.com/citations?hl=en&amp;view_op=list_hcore&amp;venue=6hYO_ZiWs1YJ.2024" TargetMode="External"/><Relationship Id="rId12" Type="http://schemas.openxmlformats.org/officeDocument/2006/relationships/hyperlink" Target="https://dblp.org/db/conf/assets/index.html" TargetMode="External"/><Relationship Id="rId15" Type="http://schemas.openxmlformats.org/officeDocument/2006/relationships/hyperlink" Target="https://scholar.google.com/citations?hl=en&amp;view_op=list_hcore&amp;venue=JMsm_h2lofMJ.2024" TargetMode="External"/><Relationship Id="rId198" Type="http://schemas.openxmlformats.org/officeDocument/2006/relationships/hyperlink" Target="https://scholar.google.com/scholar?hl=pt-BR&amp;as_sdt=0%2C5&amp;as_ylo=2020&amp;as_yhi=2024&amp;q=%22International+Conference+Universal+Access+in+Human-Computer+Interaction%22&amp;btnG=" TargetMode="External"/><Relationship Id="rId14" Type="http://schemas.openxmlformats.org/officeDocument/2006/relationships/hyperlink" Target="https://dblp.org/db/conf/interact/index.html" TargetMode="External"/><Relationship Id="rId197" Type="http://schemas.openxmlformats.org/officeDocument/2006/relationships/hyperlink" Target="https://scholar.google.com/scholar?hl=pt-BR&amp;as_sdt=0%2C5&amp;as_ylo=2020&amp;as_yhi=2024&amp;q=%22Congresso+Internacional+de+Design+da+Informa%C3%A7%C3%A3o%22&amp;btnG=" TargetMode="External"/><Relationship Id="rId17" Type="http://schemas.openxmlformats.org/officeDocument/2006/relationships/hyperlink" Target="https://scholar.google.com/citations?hl=en&amp;vq=eng_humancomputerinteraction&amp;view_op=list_hcore&amp;venue=FYz8XSTnq6sJ.2024" TargetMode="External"/><Relationship Id="rId196" Type="http://schemas.openxmlformats.org/officeDocument/2006/relationships/hyperlink" Target="https://scholar.google.com/scholar?hl=pt-BR&amp;as_sdt=0%2C5&amp;as_ylo=2020&amp;as_yhi=2024&amp;q=%22Congresso+Brasileiro+de+Pesquisadores+em+Cibercultura%22&amp;btnG=" TargetMode="External"/><Relationship Id="rId16" Type="http://schemas.openxmlformats.org/officeDocument/2006/relationships/hyperlink" Target="https://dblp.org/db/conf/nordichi/index.html" TargetMode="External"/><Relationship Id="rId195" Type="http://schemas.openxmlformats.org/officeDocument/2006/relationships/hyperlink" Target="https://scholar.google.com/scholar?hl=pt-BR&amp;as_sdt=0%2C5&amp;as_ylo=2020&amp;as_yhi=2024&amp;q=%22Congresso+Internacional+de+Ergonomia+e+Usabilidade+de+Interfaces+Humano+Computador%22&amp;btnG=" TargetMode="External"/><Relationship Id="rId19" Type="http://schemas.openxmlformats.org/officeDocument/2006/relationships/hyperlink" Target="https://scholar.google.com/citations?hl=en&amp;view_op=list_hcore&amp;venue=jyopF_8JEZIJ.2024" TargetMode="External"/><Relationship Id="rId18" Type="http://schemas.openxmlformats.org/officeDocument/2006/relationships/hyperlink" Target="https://dblp.org/db/conf/mhci/index.html" TargetMode="External"/><Relationship Id="rId199" Type="http://schemas.openxmlformats.org/officeDocument/2006/relationships/hyperlink" Target="https://scholar.google.com/scholar?hl=pt-BR&amp;as_sdt=0%2C5&amp;as_ylo=2020&amp;as_yhi=2024&amp;q=%22Interaction+Latin+America%22&amp;btnG=" TargetMode="External"/><Relationship Id="rId84" Type="http://schemas.openxmlformats.org/officeDocument/2006/relationships/hyperlink" Target="https://dblp.org/db/conf/w4a/index.html" TargetMode="External"/><Relationship Id="rId83" Type="http://schemas.openxmlformats.org/officeDocument/2006/relationships/hyperlink" Target="https://scholar.google.com/citations?hl=en&amp;view_op=list_hcore&amp;venue=TXeN4Nn46qQJ.2024" TargetMode="External"/><Relationship Id="rId86" Type="http://schemas.openxmlformats.org/officeDocument/2006/relationships/hyperlink" Target="https://dblp.org/db/conf/sui/index.html" TargetMode="External"/><Relationship Id="rId85" Type="http://schemas.openxmlformats.org/officeDocument/2006/relationships/hyperlink" Target="https://scholar.google.com/citations?hl=en&amp;view_op=list_hcore&amp;venue=pUIVy52VbeEJ.2024" TargetMode="External"/><Relationship Id="rId88" Type="http://schemas.openxmlformats.org/officeDocument/2006/relationships/hyperlink" Target="https://dblp.org/db/conf/its/index.html" TargetMode="External"/><Relationship Id="rId150" Type="http://schemas.openxmlformats.org/officeDocument/2006/relationships/hyperlink" Target="https://dblp.org/db/conf/eurohaptics/index.html" TargetMode="External"/><Relationship Id="rId87" Type="http://schemas.openxmlformats.org/officeDocument/2006/relationships/hyperlink" Target="https://scholar.google.com/citations?hl=en&amp;view_op=list_hcore&amp;venue=pjzAYQWqW2kJ.2024" TargetMode="External"/><Relationship Id="rId89" Type="http://schemas.openxmlformats.org/officeDocument/2006/relationships/hyperlink" Target="https://scholar.google.com.br/citations?hl=pt-BR&amp;view_op=list_hcore&amp;venue=UF-KqO2gwjoJ.2024" TargetMode="External"/><Relationship Id="rId80" Type="http://schemas.openxmlformats.org/officeDocument/2006/relationships/hyperlink" Target="https://dblp.org/db/conf/aughuman/index.html" TargetMode="External"/><Relationship Id="rId82" Type="http://schemas.openxmlformats.org/officeDocument/2006/relationships/hyperlink" Target="https://dblp.org/db/conf/vl/index.html" TargetMode="External"/><Relationship Id="rId81" Type="http://schemas.openxmlformats.org/officeDocument/2006/relationships/hyperlink" Target="https://scholar.google.com/citations?hl=en&amp;view_op=list_hcore&amp;venue=PDH_h8gpFWsJ.2024" TargetMode="External"/><Relationship Id="rId1" Type="http://schemas.openxmlformats.org/officeDocument/2006/relationships/hyperlink" Target="https://scholar.google.com/citations?hl=en&amp;vq=eng_humancomputerinteraction&amp;view_op=list_hcore&amp;venue=6NNnGOq9_mAJ.2024" TargetMode="External"/><Relationship Id="rId2" Type="http://schemas.openxmlformats.org/officeDocument/2006/relationships/hyperlink" Target="https://dblp.org/db/conf/chi/index.html" TargetMode="External"/><Relationship Id="rId3" Type="http://schemas.openxmlformats.org/officeDocument/2006/relationships/hyperlink" Target="https://scholar.google.com/citations?hl=en&amp;vq=eng_humancomputerinteraction&amp;view_op=list_hcore&amp;venue=-_BzfdwqRVsJ.2024" TargetMode="External"/><Relationship Id="rId149" Type="http://schemas.openxmlformats.org/officeDocument/2006/relationships/hyperlink" Target="https://scholar.google.com/scholar?hl=pt-BR&amp;as_sdt=0%2C5&amp;as_ylo=2020&amp;as_yhi=2024&amp;q=%22Eurohaptics+%22&amp;btnG=" TargetMode="External"/><Relationship Id="rId4" Type="http://schemas.openxmlformats.org/officeDocument/2006/relationships/hyperlink" Target="https://dblp.org/db/conf/iui/index.html" TargetMode="External"/><Relationship Id="rId148" Type="http://schemas.openxmlformats.org/officeDocument/2006/relationships/hyperlink" Target="https://dblp.org/db/conf/dsai/index.html" TargetMode="External"/><Relationship Id="rId9" Type="http://schemas.openxmlformats.org/officeDocument/2006/relationships/hyperlink" Target="https://scholar.google.com/citations?hl=en&amp;view_op=list_hcore&amp;venue=6bHuP8hpZRIJ.2024" TargetMode="External"/><Relationship Id="rId143" Type="http://schemas.openxmlformats.org/officeDocument/2006/relationships/hyperlink" Target="https://scholar.google.com/scholar?hl=pt-BR&amp;as_sdt=0%2C5&amp;as_ylo=2020&amp;as_yhi=2024&amp;q=%22International+Conference+on+Advances+in+Computer+Entertainment+Technology%22&amp;btnG=" TargetMode="External"/><Relationship Id="rId142" Type="http://schemas.openxmlformats.org/officeDocument/2006/relationships/hyperlink" Target="https://dblp.org/db/conf/bcshci/index.html" TargetMode="External"/><Relationship Id="rId141" Type="http://schemas.openxmlformats.org/officeDocument/2006/relationships/hyperlink" Target="https://scholar.google.com/scholar?hl=pt-BR&amp;as_sdt=0%2C5&amp;as_ylo=2020&amp;as_yhi=2024&amp;q=%22Conference+of+the+British+Computer+Society+Human+Computer+Interaction+Specialist+Group%22&amp;btnG=" TargetMode="External"/><Relationship Id="rId140" Type="http://schemas.openxmlformats.org/officeDocument/2006/relationships/hyperlink" Target="https://dblp.org/db/conf/vissoft/index.html" TargetMode="External"/><Relationship Id="rId5" Type="http://schemas.openxmlformats.org/officeDocument/2006/relationships/hyperlink" Target="https://scholar.google.com/citations?hl=en&amp;vq=eng_humancomputerinteraction&amp;view_op=list_hcore&amp;venue=vl9z3BzoXrgJ.2024" TargetMode="External"/><Relationship Id="rId147" Type="http://schemas.openxmlformats.org/officeDocument/2006/relationships/hyperlink" Target="https://scholar.google.com/scholar?hl=pt-BR&amp;as_sdt=0%2C5&amp;as_ylo=2020&amp;as_yhi=2024&amp;q=%22International+Conference+on+Software+Development+for+Enhancing+Accessibility+and+Fighting+Info-exclusion%22&amp;btnG=" TargetMode="External"/><Relationship Id="rId6" Type="http://schemas.openxmlformats.org/officeDocument/2006/relationships/hyperlink" Target="https://dblp.org/db/conf/uist/index.html" TargetMode="External"/><Relationship Id="rId146" Type="http://schemas.openxmlformats.org/officeDocument/2006/relationships/hyperlink" Target="https://dblp.org/db/conf/siggraph/index.html" TargetMode="External"/><Relationship Id="rId7" Type="http://schemas.openxmlformats.org/officeDocument/2006/relationships/hyperlink" Target="https://scholar.google.com/citations?hl=en&amp;vq=eng_humancomputerinteraction&amp;view_op=list_hcore&amp;venue=NL3siS1OXxYJ.2024" TargetMode="External"/><Relationship Id="rId145" Type="http://schemas.openxmlformats.org/officeDocument/2006/relationships/hyperlink" Target="https://scholar.google.com/scholar?hl=pt-BR&amp;as_sdt=0%2C5&amp;as_ylo=2020&amp;as_yhi=2024&amp;q=%22ACM+International+Conference+on+Computer+Graphics+and+Interactive+Techniques%22&amp;btnG=" TargetMode="External"/><Relationship Id="rId8" Type="http://schemas.openxmlformats.org/officeDocument/2006/relationships/hyperlink" Target="https://dblp.org/db/conf/ACMdis/index.html" TargetMode="External"/><Relationship Id="rId144" Type="http://schemas.openxmlformats.org/officeDocument/2006/relationships/hyperlink" Target="https://dblp.org/db/conf/ACMace/index.html" TargetMode="External"/><Relationship Id="rId73" Type="http://schemas.openxmlformats.org/officeDocument/2006/relationships/hyperlink" Target="https://scholar.google.com/citations?hl=en&amp;view_op=list_hcore&amp;venue=-QH-Ge-vaUsJ.2024" TargetMode="External"/><Relationship Id="rId72" Type="http://schemas.openxmlformats.org/officeDocument/2006/relationships/hyperlink" Target="https://dblp.org/db/conf/iva/index.html" TargetMode="External"/><Relationship Id="rId75" Type="http://schemas.openxmlformats.org/officeDocument/2006/relationships/hyperlink" Target="https://scholar.google.com/citations?hl=en&amp;view_op=list_hcore&amp;venue=zsGWp1QJr3AJ.2024" TargetMode="External"/><Relationship Id="rId74" Type="http://schemas.openxmlformats.org/officeDocument/2006/relationships/hyperlink" Target="https://dblp.org/db/conf/icalt/index.html" TargetMode="External"/><Relationship Id="rId77" Type="http://schemas.openxmlformats.org/officeDocument/2006/relationships/hyperlink" Target="https://scholar.google.com/citations?hl=en&amp;view_op=list_hcore&amp;venue=nzz9FASca4MJ.2024" TargetMode="External"/><Relationship Id="rId76" Type="http://schemas.openxmlformats.org/officeDocument/2006/relationships/hyperlink" Target="https://dblp.org/db/conf/iceis/index.html" TargetMode="External"/><Relationship Id="rId79" Type="http://schemas.openxmlformats.org/officeDocument/2006/relationships/hyperlink" Target="https://scholar.google.com.br/citations?hl=pt-BR&amp;view_op=list_hcore&amp;venue=HqiGvACsawYJ.2024" TargetMode="External"/><Relationship Id="rId78" Type="http://schemas.openxmlformats.org/officeDocument/2006/relationships/hyperlink" Target="https://dblp.org/db/conf/csedu/index.html" TargetMode="External"/><Relationship Id="rId71" Type="http://schemas.openxmlformats.org/officeDocument/2006/relationships/hyperlink" Target="https://scholar.google.com/citations?hl=en&amp;view_op=list_hcore&amp;venue=Zy6oN9uVoooJ.2024" TargetMode="External"/><Relationship Id="rId70" Type="http://schemas.openxmlformats.org/officeDocument/2006/relationships/hyperlink" Target="https://dblp.org/db/conf/candc/index.html" TargetMode="External"/><Relationship Id="rId139" Type="http://schemas.openxmlformats.org/officeDocument/2006/relationships/hyperlink" Target="https://scholar.google.com/scholar?hl=pt-BR&amp;as_sdt=0%2C5&amp;as_ylo=2020&amp;as_yhi=2024&amp;q=%22IEEE+Working+Conference+on+Software+Visualization%22&amp;btnG=" TargetMode="External"/><Relationship Id="rId138" Type="http://schemas.openxmlformats.org/officeDocument/2006/relationships/hyperlink" Target="https://dblp.org/db/conf/petra/index.html" TargetMode="External"/><Relationship Id="rId137" Type="http://schemas.openxmlformats.org/officeDocument/2006/relationships/hyperlink" Target="https://scholar.google.com/scholar?hl=pt-BR&amp;as_sdt=0%2C5&amp;as_ylo=2020&amp;as_yhi=2024&amp;q=%22ACM+International+Conference+on+PErvasive+Technologies+Related+to+Assistive+Environments+%22&amp;btnG=" TargetMode="External"/><Relationship Id="rId132" Type="http://schemas.openxmlformats.org/officeDocument/2006/relationships/hyperlink" Target="https://dblp.org/db/conf/graphicsinterface/index.html" TargetMode="External"/><Relationship Id="rId131" Type="http://schemas.openxmlformats.org/officeDocument/2006/relationships/hyperlink" Target="https://scholar.google.com/scholar?hl=pt-BR&amp;as_sdt=0%2C5&amp;as_ylo=2020&amp;as_yhi=2024&amp;q=%22Graphics+Interface%22&amp;btnG=" TargetMode="External"/><Relationship Id="rId130" Type="http://schemas.openxmlformats.org/officeDocument/2006/relationships/hyperlink" Target="https://dblp.org/db/conf/hcomp/index.html" TargetMode="External"/><Relationship Id="rId136" Type="http://schemas.openxmlformats.org/officeDocument/2006/relationships/hyperlink" Target="https://dblp.org/db/conf/tabletop/index.html" TargetMode="External"/><Relationship Id="rId135" Type="http://schemas.openxmlformats.org/officeDocument/2006/relationships/hyperlink" Target="https://scholar.google.com/scholar?hl=pt-BR&amp;as_sdt=0%2C5&amp;as_ylo=2020&amp;as_yhi=2024&amp;q=%22ACM+International+Conference+on+Interactive+Tabletops+and+Surfaces%22&amp;btnG=" TargetMode="External"/><Relationship Id="rId134" Type="http://schemas.openxmlformats.org/officeDocument/2006/relationships/hyperlink" Target="https://dblp.org/db/conf/tvx/index.html" TargetMode="External"/><Relationship Id="rId133" Type="http://schemas.openxmlformats.org/officeDocument/2006/relationships/hyperlink" Target="https://scholar.google.com/scholar?hl=pt-BR&amp;as_sdt=0%2C5&amp;as_ylo=2020&amp;as_yhi=2024&amp;q=%22ACM+International+Conference+on+Interactive+Experiences+for+TV+and+Online+Video%22&amp;btnG=" TargetMode="External"/><Relationship Id="rId62" Type="http://schemas.openxmlformats.org/officeDocument/2006/relationships/hyperlink" Target="https://dblp.org/db/conf/mmsys/index.html" TargetMode="External"/><Relationship Id="rId61" Type="http://schemas.openxmlformats.org/officeDocument/2006/relationships/hyperlink" Target="https://scholar.google.com/citations?hl=en&amp;view_op=list_hcore&amp;venue=iRTf4ImdsEQJ.2024" TargetMode="External"/><Relationship Id="rId64" Type="http://schemas.openxmlformats.org/officeDocument/2006/relationships/hyperlink" Target="https://dblp.org/db/conf/huc/index.html" TargetMode="External"/><Relationship Id="rId63" Type="http://schemas.openxmlformats.org/officeDocument/2006/relationships/hyperlink" Target="https://scholar.google.com/citations?hl=en&amp;vq=eng_humancomputerinteraction&amp;view_op=list_hcore&amp;venue=K6EHRjh8bWIJ.2024" TargetMode="External"/><Relationship Id="rId66" Type="http://schemas.openxmlformats.org/officeDocument/2006/relationships/hyperlink" Target="https://dblp.org/db/conf/vrst/index.html" TargetMode="External"/><Relationship Id="rId172" Type="http://schemas.openxmlformats.org/officeDocument/2006/relationships/hyperlink" Target="https://scholar.google.com/scholar?hl=pt-BR&amp;as_sdt=0%2C5&amp;as_ylo=2020&amp;as_yhi=2024&amp;q=%22Electronic+Government+and+the+Information+Systems+Perspective%22&amp;btnG=" TargetMode="External"/><Relationship Id="rId65" Type="http://schemas.openxmlformats.org/officeDocument/2006/relationships/hyperlink" Target="https://scholar.google.com/citations?hl=en&amp;view_op=list_hcore&amp;venue=QFdzrecfz8sJ.2024" TargetMode="External"/><Relationship Id="rId171" Type="http://schemas.openxmlformats.org/officeDocument/2006/relationships/hyperlink" Target="https://dblp.org/db/conf/ifip6-3/index.html" TargetMode="External"/><Relationship Id="rId68" Type="http://schemas.openxmlformats.org/officeDocument/2006/relationships/hyperlink" Target="https://dblp.org/db/conf/dgo/index.html" TargetMode="External"/><Relationship Id="rId170" Type="http://schemas.openxmlformats.org/officeDocument/2006/relationships/hyperlink" Target="https://scholar.google.com/scholar?hl=pt-BR&amp;as_sdt=0%2C5&amp;as_ylo=2020&amp;as_yhi=2024&amp;q=%22Conference+on+Sustainable+Internet+and+ICT+for+Sustainability%22&amp;btnG=" TargetMode="External"/><Relationship Id="rId67" Type="http://schemas.openxmlformats.org/officeDocument/2006/relationships/hyperlink" Target="https://scholar.google.com.br/citations?hl=pt-BR&amp;view_op=list_hcore&amp;venue=109OuuD55eYJ.2024" TargetMode="External"/><Relationship Id="rId60" Type="http://schemas.openxmlformats.org/officeDocument/2006/relationships/hyperlink" Target="https://dblp.org/db/conf/compsac/index.html" TargetMode="External"/><Relationship Id="rId165" Type="http://schemas.openxmlformats.org/officeDocument/2006/relationships/hyperlink" Target="https://sol.sbc.org.br/index.php/waihcws/issue/archive" TargetMode="External"/><Relationship Id="rId69" Type="http://schemas.openxmlformats.org/officeDocument/2006/relationships/hyperlink" Target="https://scholar.google.com/citations?hl=en&amp;view_op=list_hcore&amp;venue=fckQPrz_q_gJ.2024" TargetMode="External"/><Relationship Id="rId164" Type="http://schemas.openxmlformats.org/officeDocument/2006/relationships/hyperlink" Target="https://dblp.org/rec/conf/ihc/2017waihcws.html" TargetMode="External"/><Relationship Id="rId163" Type="http://schemas.openxmlformats.org/officeDocument/2006/relationships/hyperlink" Target="https://scholar.google.com/scholar?hl=pt-BR&amp;as_sdt=0%2C5&amp;as_ylo=2020&amp;as_yhi=2024&amp;q=%22Workshop+sobre+Aspectos+da+Intera%C3%A7%C3%A3o+Humano-Computador+para+a+Web+Social%22&amp;btnG=" TargetMode="External"/><Relationship Id="rId162" Type="http://schemas.openxmlformats.org/officeDocument/2006/relationships/hyperlink" Target="https://dblp.org/db/conf/iaria/index.html" TargetMode="External"/><Relationship Id="rId169" Type="http://schemas.openxmlformats.org/officeDocument/2006/relationships/hyperlink" Target="https://dblp.org/db/conf/haptics/index.html" TargetMode="External"/><Relationship Id="rId168" Type="http://schemas.openxmlformats.org/officeDocument/2006/relationships/hyperlink" Target="https://scholar.google.com/scholar?hl=pt-BR&amp;as_sdt=0%2C5&amp;as_ylo=2020&amp;as_yhi=2024&amp;q=%22Conference+and+Symposium+on+Haptic+Interfaces+for+Virtual+Environment+and+Teleoperator+Systems%22&amp;btnG=" TargetMode="External"/><Relationship Id="rId167" Type="http://schemas.openxmlformats.org/officeDocument/2006/relationships/hyperlink" Target="https://sol.sbc.org.br/index.php/csbc" TargetMode="External"/><Relationship Id="rId166" Type="http://schemas.openxmlformats.org/officeDocument/2006/relationships/hyperlink" Target="https://scholar.google.com/scholar?hl=pt-BR&amp;as_sdt=0%2C5&amp;as_ylo=2020&amp;as_yhi=2024&amp;q=%22Congresso+da+Sociedade+Brasileira+de+Computa%C3%A7%C3%A3o%22&amp;btnG=" TargetMode="External"/><Relationship Id="rId51" Type="http://schemas.openxmlformats.org/officeDocument/2006/relationships/hyperlink" Target="https://scholar.google.com/citations?hl=en&amp;view_op=list_hcore&amp;venue=jtXTIwcBWV8J.2024" TargetMode="External"/><Relationship Id="rId50" Type="http://schemas.openxmlformats.org/officeDocument/2006/relationships/hyperlink" Target="https://dblp.org/db/conf/ismar/index.html" TargetMode="External"/><Relationship Id="rId53" Type="http://schemas.openxmlformats.org/officeDocument/2006/relationships/hyperlink" Target="https://scholar.google.com/citations?hl=en&amp;view_op=list_hcore&amp;venue=l2Fh9zgyJ3sJ.2024" TargetMode="External"/><Relationship Id="rId52" Type="http://schemas.openxmlformats.org/officeDocument/2006/relationships/hyperlink" Target="https://dblp.org/db/conf/um/index.html" TargetMode="External"/><Relationship Id="rId55" Type="http://schemas.openxmlformats.org/officeDocument/2006/relationships/hyperlink" Target="https://scholar.google.com.br/citations?hl=pt-BR&amp;view_op=list_hcore&amp;venue=FeNM07eYolwJ.2024" TargetMode="External"/><Relationship Id="rId161" Type="http://schemas.openxmlformats.org/officeDocument/2006/relationships/hyperlink" Target="https://scholar.google.com/scholar?hl=pt-BR&amp;as_sdt=0%2C5&amp;as_ylo=2020&amp;as_yhi=2024&amp;q=%22International+Conference+on+Advances+in+Computer-Human+Interaction%22&amp;btnG=" TargetMode="External"/><Relationship Id="rId54" Type="http://schemas.openxmlformats.org/officeDocument/2006/relationships/hyperlink" Target="https://dblp.org/db/conf/aied/index.html" TargetMode="External"/><Relationship Id="rId160" Type="http://schemas.openxmlformats.org/officeDocument/2006/relationships/hyperlink" Target="https://dblp.org/db/conf/ht/index.html" TargetMode="External"/><Relationship Id="rId57" Type="http://schemas.openxmlformats.org/officeDocument/2006/relationships/hyperlink" Target="https://scholar.google.com/citations?hl=en&amp;view_op=list_hcore&amp;venue=n8TWwN8Kc5cJ.2024" TargetMode="External"/><Relationship Id="rId56" Type="http://schemas.openxmlformats.org/officeDocument/2006/relationships/hyperlink" Target="https://dblp.org/db/conf/icmi/index.html" TargetMode="External"/><Relationship Id="rId159" Type="http://schemas.openxmlformats.org/officeDocument/2006/relationships/hyperlink" Target="https://scholar.google.com/scholar?hl=pt-BR&amp;as_sdt=0%2C5&amp;as_ylo=2020&amp;as_yhi=2024&amp;q=%22ACM+Conference+on+Hypertext+and+Social+Media%22&amp;btnG=" TargetMode="External"/><Relationship Id="rId59" Type="http://schemas.openxmlformats.org/officeDocument/2006/relationships/hyperlink" Target="https://scholar.google.com/citations?hl=en&amp;view_op=list_hcore&amp;venue=VV1RRR7eju4J.2024" TargetMode="External"/><Relationship Id="rId154" Type="http://schemas.openxmlformats.org/officeDocument/2006/relationships/hyperlink" Target="https://dblp.org/db/conf/avi/index.html" TargetMode="External"/><Relationship Id="rId58" Type="http://schemas.openxmlformats.org/officeDocument/2006/relationships/hyperlink" Target="https://dblp.org/db/conf/acii/index.html" TargetMode="External"/><Relationship Id="rId153" Type="http://schemas.openxmlformats.org/officeDocument/2006/relationships/hyperlink" Target="https://scholar.google.com/scholar?hl=pt-BR&amp;as_sdt=0%2C5&amp;as_ylo=2020&amp;as_yhi=2024&amp;q=%22Working+Conference+on+Advanced+Visual+Interfaces%22&amp;btnG=" TargetMode="External"/><Relationship Id="rId152" Type="http://schemas.openxmlformats.org/officeDocument/2006/relationships/hyperlink" Target="https://dblp.org/db/conf/collabtech/index.html" TargetMode="External"/><Relationship Id="rId151" Type="http://schemas.openxmlformats.org/officeDocument/2006/relationships/hyperlink" Target="https://scholar.google.com/scholar?hl=pt-BR&amp;as_sdt=0%2C5&amp;as_ylo=2020&amp;as_yhi=2024&amp;q=%22International+Conference+on+Collaboration+Technologies+and+Social+Computing%22&amp;btnG=" TargetMode="External"/><Relationship Id="rId158" Type="http://schemas.openxmlformats.org/officeDocument/2006/relationships/hyperlink" Target="https://dblp.org/db/conf/ihm/index.html" TargetMode="External"/><Relationship Id="rId157" Type="http://schemas.openxmlformats.org/officeDocument/2006/relationships/hyperlink" Target="https://scholar.google.com/scholar?hl=pt-BR&amp;as_sdt=0%2C5&amp;as_ylo=2020&amp;as_yhi=2024&amp;q=%22Conf%C3%A9rence+Francophone+sur+l%E2%80%99Interaction+Homme-Machin%22&amp;btnG=" TargetMode="External"/><Relationship Id="rId156" Type="http://schemas.openxmlformats.org/officeDocument/2006/relationships/hyperlink" Target="https://dblp.org/db/conf/iciso/index.html" TargetMode="External"/><Relationship Id="rId155" Type="http://schemas.openxmlformats.org/officeDocument/2006/relationships/hyperlink" Target="https://scholar.google.com/scholar?hl=pt-BR&amp;as_sdt=0%2C5&amp;as_ylo=2020&amp;as_yhi=2024&amp;q=%22IFIP+International+Conference+on+Informatics+and+Semiotics+in+Organisations%22&amp;btnG=" TargetMode="External"/><Relationship Id="rId107" Type="http://schemas.openxmlformats.org/officeDocument/2006/relationships/hyperlink" Target="https://sol.sbc.org.br/index.php/sbie" TargetMode="External"/><Relationship Id="rId106" Type="http://schemas.openxmlformats.org/officeDocument/2006/relationships/hyperlink" Target="https://scholar.google.com/citations?hl=pt-BR&amp;view_op=list_hcore&amp;venue=DMcB-6XAVukJ.2024" TargetMode="External"/><Relationship Id="rId105" Type="http://schemas.openxmlformats.org/officeDocument/2006/relationships/hyperlink" Target="https://dblp.org/db/conf/icchp/index.html" TargetMode="External"/><Relationship Id="rId104" Type="http://schemas.openxmlformats.org/officeDocument/2006/relationships/hyperlink" Target="https://scholar.google.com/citations?hl=en&amp;view_op=list_hcore&amp;venue=W0UcbMjBS4MJ.2024" TargetMode="External"/><Relationship Id="rId109" Type="http://schemas.openxmlformats.org/officeDocument/2006/relationships/hyperlink" Target="https://dblp.org/db/conf/clei/index.html" TargetMode="External"/><Relationship Id="rId108" Type="http://schemas.openxmlformats.org/officeDocument/2006/relationships/hyperlink" Target="https://scholar.google.com/citations?hl=en&amp;view_op=list_hcore&amp;venue=ThEGj_a76ZUJ.2024" TargetMode="External"/><Relationship Id="rId103" Type="http://schemas.openxmlformats.org/officeDocument/2006/relationships/hyperlink" Target="https://dblp.org/db/conf/doceng/index.html" TargetMode="External"/><Relationship Id="rId102" Type="http://schemas.openxmlformats.org/officeDocument/2006/relationships/hyperlink" Target="https://scholar.google.com/citations?hl=en&amp;view_op=list_hcore&amp;venue=C6AfMlHpHa0J.2024" TargetMode="External"/><Relationship Id="rId101" Type="http://schemas.openxmlformats.org/officeDocument/2006/relationships/hyperlink" Target="https://sol.sbc.org.br/index.php/webmedia" TargetMode="External"/><Relationship Id="rId100" Type="http://schemas.openxmlformats.org/officeDocument/2006/relationships/hyperlink" Target="https://dblp.org/db/conf/webmedia/index.html" TargetMode="External"/><Relationship Id="rId129" Type="http://schemas.openxmlformats.org/officeDocument/2006/relationships/hyperlink" Target="https://scholar.google.com/scholar?hl=pt-BR&amp;as_sdt=0%2C5&amp;as_ylo=2020&amp;as_yhi=2024&amp;q=%22AAAI+Conference+on+Human+Computation+and+Crowdsourcing%22&amp;btnG=" TargetMode="External"/><Relationship Id="rId128" Type="http://schemas.openxmlformats.org/officeDocument/2006/relationships/hyperlink" Target="https://scholar.google.com/scholar?hl=pt-BR&amp;as_sdt=0%2C5&amp;as_ylo=2020&amp;as_yhi=2024&amp;q=%22IEEE+Symposium+on+3D+User+Interfaces%22&amp;btnG=" TargetMode="External"/><Relationship Id="rId127" Type="http://schemas.openxmlformats.org/officeDocument/2006/relationships/hyperlink" Target="https://sol.sbc.org.br/index.php/semish/issue/archive" TargetMode="External"/><Relationship Id="rId126" Type="http://schemas.openxmlformats.org/officeDocument/2006/relationships/hyperlink" Target="https://scholar.google.com/citations?hl=en&amp;view_op=list_hcore&amp;venue=wGjmHjjfBacJ.2024" TargetMode="External"/><Relationship Id="rId121" Type="http://schemas.openxmlformats.org/officeDocument/2006/relationships/hyperlink" Target="https://scholar.google.com.br/citations?hl=pt-BR&amp;view_op=list_hcore&amp;venue=zMtc1kMzzzIJ.2024" TargetMode="External"/><Relationship Id="rId120" Type="http://schemas.openxmlformats.org/officeDocument/2006/relationships/hyperlink" Target="https://sol.sbc.org.br/index.php/wie/issue/archive" TargetMode="External"/><Relationship Id="rId125" Type="http://schemas.openxmlformats.org/officeDocument/2006/relationships/hyperlink" Target="https://scholar.google.com/citations?hl=en&amp;view_op=list_hcore&amp;venue=blumkO6J_ywJ.2024" TargetMode="External"/><Relationship Id="rId124" Type="http://schemas.openxmlformats.org/officeDocument/2006/relationships/hyperlink" Target="https://dblp.org/db/conf/hci-collab/index.html" TargetMode="External"/><Relationship Id="rId123" Type="http://schemas.openxmlformats.org/officeDocument/2006/relationships/hyperlink" Target="https://scholar.google.com/citations?hl=pt-BR&amp;view_op=list_hcore&amp;venue=xnl06E004lgJ.2024" TargetMode="External"/><Relationship Id="rId122" Type="http://schemas.openxmlformats.org/officeDocument/2006/relationships/hyperlink" Target="https://dblp.org/db/conf/clihc/index.html" TargetMode="External"/><Relationship Id="rId95" Type="http://schemas.openxmlformats.org/officeDocument/2006/relationships/hyperlink" Target="https://scholar.google.com/citations?hl=en&amp;view_op=list_hcore&amp;venue=js1p_d4DBXkJ.2024" TargetMode="External"/><Relationship Id="rId94" Type="http://schemas.openxmlformats.org/officeDocument/2006/relationships/hyperlink" Target="https://dblp.org/db/conf/svr/index.html" TargetMode="External"/><Relationship Id="rId97" Type="http://schemas.openxmlformats.org/officeDocument/2006/relationships/hyperlink" Target="https://scholar.google.com.br/citations?hl=pt-BR&amp;view_op=list_hcore&amp;venue=0oQi0-PzQ8sJ.2024" TargetMode="External"/><Relationship Id="rId96" Type="http://schemas.openxmlformats.org/officeDocument/2006/relationships/hyperlink" Target="https://dblp.org/db/conf/tabletop/index.html" TargetMode="External"/><Relationship Id="rId99" Type="http://schemas.openxmlformats.org/officeDocument/2006/relationships/hyperlink" Target="https://scholar.google.com/citations?hl=en&amp;view_op=list_hcore&amp;venue=EL-07Zfxn_kJ.2024" TargetMode="External"/><Relationship Id="rId98" Type="http://schemas.openxmlformats.org/officeDocument/2006/relationships/hyperlink" Target="https://dblp.org/db/conf/webist/index.html" TargetMode="External"/><Relationship Id="rId91" Type="http://schemas.openxmlformats.org/officeDocument/2006/relationships/hyperlink" Target="https://scholar.google.com.br/citations?hl=pt-BR&amp;view_op=list_hcore&amp;venue=vRWGetFmuFkJ.2024" TargetMode="External"/><Relationship Id="rId90" Type="http://schemas.openxmlformats.org/officeDocument/2006/relationships/hyperlink" Target="https://dblp.org/db/conf/egov/index.html" TargetMode="External"/><Relationship Id="rId93" Type="http://schemas.openxmlformats.org/officeDocument/2006/relationships/hyperlink" Target="https://scholar.google.com/citations?hl=en&amp;view_op=list_hcore&amp;venue=Y15SCgN8Um8J.2024" TargetMode="External"/><Relationship Id="rId92" Type="http://schemas.openxmlformats.org/officeDocument/2006/relationships/hyperlink" Target="https://dblp.org/db/conf/iv/index.html" TargetMode="External"/><Relationship Id="rId118" Type="http://schemas.openxmlformats.org/officeDocument/2006/relationships/hyperlink" Target="https://dblp.org/db/conf/sbgames/index.html" TargetMode="External"/><Relationship Id="rId117" Type="http://schemas.openxmlformats.org/officeDocument/2006/relationships/hyperlink" Target="https://scholar.google.com/citations?hl=en&amp;view_op=list_hcore&amp;venue=ByeMqHL0dxAJ.2024" TargetMode="External"/><Relationship Id="rId116" Type="http://schemas.openxmlformats.org/officeDocument/2006/relationships/hyperlink" Target="https://sol.sbc.org.br/index.php/sbsi" TargetMode="External"/><Relationship Id="rId115" Type="http://schemas.openxmlformats.org/officeDocument/2006/relationships/hyperlink" Target="https://dblp.org/db/conf/sbsi/index.html" TargetMode="External"/><Relationship Id="rId119" Type="http://schemas.openxmlformats.org/officeDocument/2006/relationships/hyperlink" Target="https://scholar.google.com.br/citations?hl=pt-BR&amp;view_op=list_hcore&amp;venue=oRft04FzXroJ.2024" TargetMode="External"/><Relationship Id="rId110" Type="http://schemas.openxmlformats.org/officeDocument/2006/relationships/hyperlink" Target="https://scholar.google.com/citations?hl=en&amp;view_op=list_hcore&amp;venue=Z4k3y0OWHUwJ.2024" TargetMode="External"/><Relationship Id="rId114" Type="http://schemas.openxmlformats.org/officeDocument/2006/relationships/hyperlink" Target="https://scholar.google.com.br/citations?hl=pt-BR&amp;view_op=list_hcore&amp;venue=2ENJOr-ESPQJ.2024" TargetMode="External"/><Relationship Id="rId113" Type="http://schemas.openxmlformats.org/officeDocument/2006/relationships/hyperlink" Target="https://dblp.org/db/conf/vecims/index.html" TargetMode="External"/><Relationship Id="rId112" Type="http://schemas.openxmlformats.org/officeDocument/2006/relationships/hyperlink" Target="https://scholar.google.com/citations?hl=en&amp;view_op=list_hcore&amp;venue=SE0J8GWI_bcJ.2024" TargetMode="External"/><Relationship Id="rId111" Type="http://schemas.openxmlformats.org/officeDocument/2006/relationships/hyperlink" Target="https://dblp.org/db/conf/sigdoc/index.html" TargetMode="External"/><Relationship Id="rId202" Type="http://schemas.openxmlformats.org/officeDocument/2006/relationships/drawing" Target="../drawings/drawing19.xml"/><Relationship Id="rId201" Type="http://schemas.openxmlformats.org/officeDocument/2006/relationships/hyperlink" Target="https://scholar.google.com/scholar?hl=pt-BR&amp;as_sdt=0%2C5&amp;as_ylo=2020&amp;as_yhi=2024&amp;q=%22Workshop+on+Internet+of+Things+for+Ambient+Assisted+Living%22&amp;btnG=" TargetMode="External"/><Relationship Id="rId200" Type="http://schemas.openxmlformats.org/officeDocument/2006/relationships/hyperlink" Target="https://scholar.google.com/scholar?hl=pt-BR&amp;as_sdt=0%2C5&amp;as_ylo=2020&amp;as_yhi=2024&amp;q=%22International+Symposium+on+Electronic+%2FEmerging+Art%22&amp;bt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exp.at" TargetMode="External"/><Relationship Id="rId2"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40" Type="http://schemas.openxmlformats.org/officeDocument/2006/relationships/hyperlink" Target="https://scholar.google.com.br/citations?hl=pt-BR&amp;view_op=list_hcore&amp;venue=PV9sQN5dnPsJ.2024" TargetMode="External"/><Relationship Id="rId42" Type="http://schemas.openxmlformats.org/officeDocument/2006/relationships/hyperlink" Target="https://trec.nist.gov/" TargetMode="External"/><Relationship Id="rId41" Type="http://schemas.openxmlformats.org/officeDocument/2006/relationships/hyperlink" Target="https://dblp.org/db/conf/aaai/index.html" TargetMode="External"/><Relationship Id="rId44" Type="http://schemas.openxmlformats.org/officeDocument/2006/relationships/hyperlink" Target="https://dblp.org/db/conf/trec/index.html" TargetMode="External"/><Relationship Id="rId43" Type="http://schemas.openxmlformats.org/officeDocument/2006/relationships/hyperlink" Target="https://scholar.google.com.br/citations?hl=pt-BR&amp;view_op=list_hcore&amp;venue=NVceRfB9aaoJ.2024" TargetMode="External"/><Relationship Id="rId46" Type="http://schemas.openxmlformats.org/officeDocument/2006/relationships/hyperlink" Target="https://dblp.org/db/conf/sigdial/index.html" TargetMode="External"/><Relationship Id="rId45" Type="http://schemas.openxmlformats.org/officeDocument/2006/relationships/hyperlink" Target="https://scholar.google.com.br/citations?hl=pt-BR&amp;vq=eng_computationallinguistics&amp;view_op=list_hcore&amp;venue=9-0ktENZUpkJ.2024" TargetMode="External"/><Relationship Id="rId48" Type="http://schemas.openxmlformats.org/officeDocument/2006/relationships/hyperlink" Target="https://scholar.google.com/scholar?as_q=&amp;as_epq=&amp;as_oq=&amp;as_eq=&amp;as_occt=any&amp;as_sauthors=&amp;as_publication=International+Workshop+on+Computational+Semantics&amp;as_ylo=2020&amp;as_yhi=2024&amp;hl=pt-BR&amp;as_sdt=0%2C5" TargetMode="External"/><Relationship Id="rId47" Type="http://schemas.openxmlformats.org/officeDocument/2006/relationships/hyperlink" Target="https://aclanthology.coli.uni-saarland.de/venues/iwcs" TargetMode="External"/><Relationship Id="rId49" Type="http://schemas.openxmlformats.org/officeDocument/2006/relationships/hyperlink" Target="https://dblp.org/db/conf/iwcs/index.html" TargetMode="External"/><Relationship Id="rId31" Type="http://schemas.openxmlformats.org/officeDocument/2006/relationships/hyperlink" Target="https://dblp.org/db/conf/acllaw/index.html" TargetMode="External"/><Relationship Id="rId30" Type="http://schemas.openxmlformats.org/officeDocument/2006/relationships/hyperlink" Target="https://scholar.google.com/scholar?as_q=&amp;as_epq=&amp;as_oq=&amp;as_eq=&amp;as_occt=any&amp;as_sauthors=&amp;as_publication=Linguistic+Annotation+Workshop&amp;as_ylo=2020&amp;as_yhi=2024&amp;hl=pt-BR&amp;as_sdt=0%2C5" TargetMode="External"/><Relationship Id="rId33" Type="http://schemas.openxmlformats.org/officeDocument/2006/relationships/hyperlink" Target="https://dblp.org/db/conf/inlg/index.html" TargetMode="External"/><Relationship Id="rId32" Type="http://schemas.openxmlformats.org/officeDocument/2006/relationships/hyperlink" Target="https://scholar.google.com.br/citations?hl=pt-BR&amp;view_op=list_hcore&amp;venue=WcIBEdCoDl0J.2024" TargetMode="External"/><Relationship Id="rId35" Type="http://schemas.openxmlformats.org/officeDocument/2006/relationships/hyperlink" Target="https://dblp.org/db/conf/tac/index.html" TargetMode="External"/><Relationship Id="rId34" Type="http://schemas.openxmlformats.org/officeDocument/2006/relationships/hyperlink" Target="https://scholar.google.com/scholar?as_q=&amp;as_epq=&amp;as_oq=&amp;as_eq=&amp;as_occt=any&amp;as_sauthors=&amp;as_publication=Text+Analysis+Conference&amp;as_ylo=2020&amp;as_yhi=2024&amp;hl=pt-BR&amp;as_sdt=0%2C5" TargetMode="External"/><Relationship Id="rId37" Type="http://schemas.openxmlformats.org/officeDocument/2006/relationships/hyperlink" Target="https://scholar.google.com/scholar?as_q=&amp;as_epq=&amp;as_oq=&amp;as_eq=&amp;as_occt=any&amp;as_sauthors=&amp;as_publication=Encontro+de+Lingu%C3%ADstica+de+Corpus&amp;as_ylo=2020&amp;as_yhi=2024&amp;hl=pt-BR&amp;as_sdt=0%2C5" TargetMode="External"/><Relationship Id="rId36" Type="http://schemas.openxmlformats.org/officeDocument/2006/relationships/hyperlink" Target="https://scholar.google.com/scholar?as_q=&amp;as_epq=&amp;as_oq=&amp;as_eq=&amp;as_occt=any&amp;as_sauthors=&amp;as_publication=Corpus+Linguistics+Conference&amp;as_ylo=2020&amp;as_yhi=2024&amp;hl=pt-BR&amp;as_sdt=0%2C5" TargetMode="External"/><Relationship Id="rId39" Type="http://schemas.openxmlformats.org/officeDocument/2006/relationships/hyperlink" Target="https://dblp.org/db/conf/ontobras/index.html" TargetMode="External"/><Relationship Id="rId38" Type="http://schemas.openxmlformats.org/officeDocument/2006/relationships/hyperlink" Target="https://scholar.google.com.br/citations?hl=pt-BR&amp;view_op=list_hcore&amp;venue=xUT2Pv_FWpIJ.2024" TargetMode="External"/><Relationship Id="rId20" Type="http://schemas.openxmlformats.org/officeDocument/2006/relationships/hyperlink" Target="https://scholar.google.com/scholar?as_q=&amp;as_epq=&amp;as_oq=&amp;as_eq=&amp;as_occt=any&amp;as_sauthors=&amp;as_publication=International+Conference+on+Computational+Processing+of+the+Portuguese+Language&amp;as_ylo=2020&amp;as_yhi=2024&amp;hl=pt-BR&amp;as_sdt=0%2C5" TargetMode="External"/><Relationship Id="rId22" Type="http://schemas.openxmlformats.org/officeDocument/2006/relationships/hyperlink" Target="https://scholar.google.com.br/citations?hl=pt-BR&amp;view_op=list_hcore&amp;venue=ssdQ_yPkyjAJ.2024" TargetMode="External"/><Relationship Id="rId21" Type="http://schemas.openxmlformats.org/officeDocument/2006/relationships/hyperlink" Target="https://dblp.org/db/conf/propor/index.html" TargetMode="External"/><Relationship Id="rId24" Type="http://schemas.openxmlformats.org/officeDocument/2006/relationships/hyperlink" Target="https://scholar.google.com.br/citations?hl=pt-BR&amp;vq=eng_computationallinguistics&amp;view_op=list_hcore&amp;venue=nnrJuCTuhnwJ.2024" TargetMode="External"/><Relationship Id="rId23" Type="http://schemas.openxmlformats.org/officeDocument/2006/relationships/hyperlink" Target="https://dblp.org/db/conf/interspeech/index.html" TargetMode="External"/><Relationship Id="rId26" Type="http://schemas.openxmlformats.org/officeDocument/2006/relationships/hyperlink" Target="https://scholar.google.com.br/citations?hl=pt-BR&amp;view_op=list_hcore&amp;venue=Y7mlmpXAthkJ.2024" TargetMode="External"/><Relationship Id="rId25" Type="http://schemas.openxmlformats.org/officeDocument/2006/relationships/hyperlink" Target="https://dblp.org/db/conf/semeval/index.html" TargetMode="External"/><Relationship Id="rId28" Type="http://schemas.openxmlformats.org/officeDocument/2006/relationships/hyperlink" Target="https://scholar.google.com.br/citations?hl=pt-BR&amp;view_op=list_hcore&amp;venue=wfD8vcltKiQJ.2024" TargetMode="External"/><Relationship Id="rId27" Type="http://schemas.openxmlformats.org/officeDocument/2006/relationships/hyperlink" Target="https://dblp.org/db/conf/ranlp/index.html" TargetMode="External"/><Relationship Id="rId29" Type="http://schemas.openxmlformats.org/officeDocument/2006/relationships/hyperlink" Target="https://dblp.org/db/conf/tsd/index.html" TargetMode="External"/><Relationship Id="rId11" Type="http://schemas.openxmlformats.org/officeDocument/2006/relationships/hyperlink" Target="https://scholar.google.com.br/citations?hl=pt-BR&amp;view_op=list_hcore&amp;venue=qf6JB6yXg1UJ.2024" TargetMode="External"/><Relationship Id="rId10" Type="http://schemas.openxmlformats.org/officeDocument/2006/relationships/hyperlink" Target="https://dblp.org/db/conf/emnlp/index.html" TargetMode="External"/><Relationship Id="rId13" Type="http://schemas.openxmlformats.org/officeDocument/2006/relationships/hyperlink" Target="https://scholar.google.com.br/citations?hl=pt-BR&amp;view_op=list_hcore&amp;venue=H7TUtVM_vm4J.2024" TargetMode="External"/><Relationship Id="rId12" Type="http://schemas.openxmlformats.org/officeDocument/2006/relationships/hyperlink" Target="https://dblp.org/db/conf/lrec/index.html" TargetMode="External"/><Relationship Id="rId15" Type="http://schemas.openxmlformats.org/officeDocument/2006/relationships/hyperlink" Target="https://scholar.google.com.br/citations?hl=pt-BR&amp;view_op=list_hcore&amp;venue=kYJHGA9yIBMJ.2024" TargetMode="External"/><Relationship Id="rId14" Type="http://schemas.openxmlformats.org/officeDocument/2006/relationships/hyperlink" Target="https://dblp.org/db/conf/conll/index.html" TargetMode="External"/><Relationship Id="rId17" Type="http://schemas.openxmlformats.org/officeDocument/2006/relationships/hyperlink" Target="https://scholar.google.com/scholar?as_q=&amp;as_epq=&amp;as_oq=&amp;as_eq=&amp;as_occt=any&amp;as_sauthors=&amp;as_publication=Simp%C3%B3sio+Brasileiro+de+Tecnologia+da+Informa%C3%A7%C3%A3o+e+da+Linguagem+Humana&amp;as_ylo=2020&amp;as_yhi=2024&amp;hl=pt-BR&amp;as_sdt=0%2C5" TargetMode="External"/><Relationship Id="rId16" Type="http://schemas.openxmlformats.org/officeDocument/2006/relationships/hyperlink" Target="https://dblp.org/db/conf/ijcnlp/index.html" TargetMode="External"/><Relationship Id="rId19" Type="http://schemas.openxmlformats.org/officeDocument/2006/relationships/hyperlink" Target="https://sol.sbc.org.br/index.php/stil/issue/archive" TargetMode="External"/><Relationship Id="rId18" Type="http://schemas.openxmlformats.org/officeDocument/2006/relationships/hyperlink" Target="https://dblp.org/db/conf/stil/index.html" TargetMode="External"/><Relationship Id="rId1" Type="http://schemas.openxmlformats.org/officeDocument/2006/relationships/hyperlink" Target="https://scholar.google.com.br/citations?hl=pt-BR&amp;view_op=list_hcore&amp;venue=Y3UjV9bSCxMJ.2024" TargetMode="External"/><Relationship Id="rId2" Type="http://schemas.openxmlformats.org/officeDocument/2006/relationships/hyperlink" Target="https://dblp.org/db/conf/acl/index.html" TargetMode="External"/><Relationship Id="rId3" Type="http://schemas.openxmlformats.org/officeDocument/2006/relationships/hyperlink" Target="https://scholar.google.com.br/citations?hl=pt-BR&amp;view_op=list_hcore&amp;venue=ORSK3meVbY4J.2024" TargetMode="External"/><Relationship Id="rId4" Type="http://schemas.openxmlformats.org/officeDocument/2006/relationships/hyperlink" Target="https://dblp.org/db/conf/naacl/index.html" TargetMode="External"/><Relationship Id="rId9" Type="http://schemas.openxmlformats.org/officeDocument/2006/relationships/hyperlink" Target="https://scholar.google.com.br/citations?hl=pt-BR&amp;view_op=list_hcore&amp;venue=LqrQjvOguiMJ.2024" TargetMode="External"/><Relationship Id="rId5" Type="http://schemas.openxmlformats.org/officeDocument/2006/relationships/hyperlink" Target="https://scholar.google.com.br/citations?hl=pt-BR&amp;view_op=list_hcore&amp;venue=JnFTLT-D1FUJ.2024" TargetMode="External"/><Relationship Id="rId6" Type="http://schemas.openxmlformats.org/officeDocument/2006/relationships/hyperlink" Target="https://dblp.org/db/conf/eacl/index.html" TargetMode="External"/><Relationship Id="rId7" Type="http://schemas.openxmlformats.org/officeDocument/2006/relationships/hyperlink" Target="https://scholar.google.com.br/citations?hl=pt-BR&amp;view_op=list_hcore&amp;venue=6AfzgED5a7MJ.2024" TargetMode="External"/><Relationship Id="rId8" Type="http://schemas.openxmlformats.org/officeDocument/2006/relationships/hyperlink" Target="https://dblp.org/db/conf/coling/index.html" TargetMode="External"/><Relationship Id="rId62" Type="http://schemas.openxmlformats.org/officeDocument/2006/relationships/hyperlink" Target="https://scholar.google.com.br/citations?hl=pt-BR&amp;view_op=list_hcore&amp;venue=uCHdYLLURp0J.2024" TargetMode="External"/><Relationship Id="rId61" Type="http://schemas.openxmlformats.org/officeDocument/2006/relationships/hyperlink" Target="https://dblp.org/db/conf/cicling/index.html" TargetMode="External"/><Relationship Id="rId64" Type="http://schemas.openxmlformats.org/officeDocument/2006/relationships/hyperlink" Target="https://dblp.org/db/conf/iberspeech/index.html" TargetMode="External"/><Relationship Id="rId63" Type="http://schemas.openxmlformats.org/officeDocument/2006/relationships/hyperlink" Target="https://scholar.google.com/scholar?as_q=&amp;as_epq=&amp;as_oq=&amp;as_eq=&amp;as_occt=any&amp;as_sauthors=&amp;as_publication=IberSPEECH+Conference&amp;as_ylo=2020&amp;as_yhi=2024&amp;hl=pt-BR&amp;as_sdt=0%2C5" TargetMode="External"/><Relationship Id="rId65" Type="http://schemas.openxmlformats.org/officeDocument/2006/relationships/drawing" Target="../drawings/drawing20.xml"/><Relationship Id="rId60" Type="http://schemas.openxmlformats.org/officeDocument/2006/relationships/hyperlink" Target="https://scholar.google.com/scholar?as_q=&amp;as_epq=&amp;as_oq=&amp;as_eq=&amp;as_occt=any&amp;as_sauthors=&amp;as_publication=International+Conference+on+Intelligent+Text+Processing+and+Computational+Linguistics&amp;as_ylo=2020&amp;as_yhi=2024&amp;hl=pt-BR&amp;as_sdt=0%2C5" TargetMode="External"/><Relationship Id="rId51" Type="http://schemas.openxmlformats.org/officeDocument/2006/relationships/hyperlink" Target="https://dblp.org/db/conf/ijcai/index.html" TargetMode="External"/><Relationship Id="rId50" Type="http://schemas.openxmlformats.org/officeDocument/2006/relationships/hyperlink" Target="https://scholar.google.com.br/citations?hl=pt-BR&amp;view_op=list_hcore&amp;venue=4HxsSu0PUdYJ.2024" TargetMode="External"/><Relationship Id="rId53" Type="http://schemas.openxmlformats.org/officeDocument/2006/relationships/hyperlink" Target="https://dblp.org/db/conf/sigir/index.html" TargetMode="External"/><Relationship Id="rId52" Type="http://schemas.openxmlformats.org/officeDocument/2006/relationships/hyperlink" Target="https://scholar.google.com.br/citations?hl=pt-BR&amp;view_op=list_hcore&amp;venue=Gf4FWVmkfbwJ.2024" TargetMode="External"/><Relationship Id="rId55" Type="http://schemas.openxmlformats.org/officeDocument/2006/relationships/hyperlink" Target="https://dblp.org/db/conf/clef/index.html" TargetMode="External"/><Relationship Id="rId54" Type="http://schemas.openxmlformats.org/officeDocument/2006/relationships/hyperlink" Target="https://scholar.google.com/scholar?as_q=&amp;as_epq=&amp;as_oq=&amp;as_eq=&amp;as_occt=any&amp;as_sauthors=&amp;as_publication=Conference+and+Labs+of+the+Evaluation+Forum&amp;as_ylo=2020&amp;as_yhi=2024&amp;hl=pt-BR&amp;as_sdt=0%2C5" TargetMode="External"/><Relationship Id="rId57" Type="http://schemas.openxmlformats.org/officeDocument/2006/relationships/hyperlink" Target="https://dblp.org/db/conf/micai/index.html" TargetMode="External"/><Relationship Id="rId56" Type="http://schemas.openxmlformats.org/officeDocument/2006/relationships/hyperlink" Target="https://scholar.google.com.br/citations?hl=pt-BR&amp;view_op=list_hcore&amp;venue=uhZEgJcD4mIJ.2024" TargetMode="External"/><Relationship Id="rId59" Type="http://schemas.openxmlformats.org/officeDocument/2006/relationships/hyperlink" Target="https://dblp.org/db/conf/nldb/index.html" TargetMode="External"/><Relationship Id="rId58" Type="http://schemas.openxmlformats.org/officeDocument/2006/relationships/hyperlink" Target="https://scholar.google.com.br/citations?hl=pt-BR&amp;view_op=list_hcore&amp;venue=4YrITWKg3KAJ.2024" TargetMode="External"/></Relationships>
</file>

<file path=xl/worksheets/_rels/sheet21.xml.rels><?xml version="1.0" encoding="UTF-8" standalone="yes"?><Relationships xmlns="http://schemas.openxmlformats.org/package/2006/relationships"><Relationship Id="rId20" Type="http://schemas.openxmlformats.org/officeDocument/2006/relationships/hyperlink" Target="https://scholar.google.com.br/citations?hl=pt-BR&amp;view_op=search_venues&amp;vq=Tangible&amp;btnG=" TargetMode="External"/><Relationship Id="rId22" Type="http://schemas.openxmlformats.org/officeDocument/2006/relationships/hyperlink" Target="https://scholar.google.com/citations?hl=en&amp;view_op=search_venues&amp;vq=%09Latin+American+Conference+on+Human+Computer+Interaction&amp;btnG=" TargetMode="External"/><Relationship Id="rId21" Type="http://schemas.openxmlformats.org/officeDocument/2006/relationships/hyperlink" Target="https://scholar.google.com/citations?hl=en&amp;view_op=search_venues&amp;vq=International+Conference+on+Computer+Supported+Collaborative+Learning&amp;btnG=" TargetMode="External"/><Relationship Id="rId24" Type="http://schemas.openxmlformats.org/officeDocument/2006/relationships/hyperlink" Target="https://scholar.google.com/citations?hl=en&amp;view_op=search_venues&amp;vq=%09International+Conference+on+Behavioural+and+Social+Computing&amp;btnG=" TargetMode="External"/><Relationship Id="rId23" Type="http://schemas.openxmlformats.org/officeDocument/2006/relationships/hyperlink" Target="https://scholar.google.com.br/citations?hl=pt-BR&amp;view_op=list_hcore&amp;venue=kYDZP1q0-MAJ.2020" TargetMode="External"/><Relationship Id="rId26" Type="http://schemas.openxmlformats.org/officeDocument/2006/relationships/hyperlink" Target="https://sol.sbc.org.br/index.php/washes" TargetMode="External"/><Relationship Id="rId25" Type="http://schemas.openxmlformats.org/officeDocument/2006/relationships/hyperlink" Target="https://scholar.google.com/citations?hl=en&amp;view_op=search_venues&amp;vq=International+Conference+on+Social+Implications+of+Computers+in+Developing+Countries&amp;btnG=" TargetMode="External"/><Relationship Id="rId27" Type="http://schemas.openxmlformats.org/officeDocument/2006/relationships/drawing" Target="../drawings/drawing21.xml"/><Relationship Id="rId11" Type="http://schemas.openxmlformats.org/officeDocument/2006/relationships/hyperlink" Target="https://scholar.google.com/citations?hl=en&amp;view_op=list_hcore&amp;venue=jyopF_8JEZIJ.2024" TargetMode="External"/><Relationship Id="rId10" Type="http://schemas.openxmlformats.org/officeDocument/2006/relationships/hyperlink" Target="https://sol.sbc.org.br/index.php/sbsc" TargetMode="External"/><Relationship Id="rId13" Type="http://schemas.openxmlformats.org/officeDocument/2006/relationships/hyperlink" Target="https://scholar.google.com.br/citations?hl=pt-BR&amp;view_op=search_venues&amp;vq=AAAI+Conference+on+Human+Computation+and+Crowdsourcing&amp;btnG=" TargetMode="External"/><Relationship Id="rId12" Type="http://schemas.openxmlformats.org/officeDocument/2006/relationships/hyperlink" Target="https://scholar.google.com.br/citations?hl=pt-BR&amp;view_op=search_venues&amp;vq=International+Workshop+on+Cooperative+and+Human+Aspects+of+Software+Engineering&amp;btnG=" TargetMode="External"/><Relationship Id="rId15" Type="http://schemas.openxmlformats.org/officeDocument/2006/relationships/hyperlink" Target="https://scholar.google.com.br/citations?hl=pt-BR&amp;view_op=search_venues&amp;vq=Hawaii+International+Conference+on+System+Sciences&amp;btnG=" TargetMode="External"/><Relationship Id="rId14" Type="http://schemas.openxmlformats.org/officeDocument/2006/relationships/hyperlink" Target="https://scholar.google.com/citations?hl=en&amp;view_op=search_venues&amp;vq=International+Conference+on+Collaboration+and+Internet+Computing+%28CIC%29&amp;btnG=" TargetMode="External"/><Relationship Id="rId17" Type="http://schemas.openxmlformats.org/officeDocument/2006/relationships/hyperlink" Target="https://scholar.google.com.br/citations?hl=pt-BR&amp;view_op=search_venues&amp;vq=Cooperative+Design%2C+Visualization%2C+and+Engineering&amp;btnG=" TargetMode="External"/><Relationship Id="rId16" Type="http://schemas.openxmlformats.org/officeDocument/2006/relationships/hyperlink" Target="https://scholar.google.com.br/citations?hl=pt-BR&amp;view_op=search_venues&amp;vq=collaboratecom&amp;btnG=" TargetMode="External"/><Relationship Id="rId19" Type="http://schemas.openxmlformats.org/officeDocument/2006/relationships/hyperlink" Target="https://scholar.google.com.br/citations?hl=pt-BR&amp;view_op=search_venues&amp;vq=International+Symposium+on+Open+Collaboration&amp;btnG=" TargetMode="External"/><Relationship Id="rId18" Type="http://schemas.openxmlformats.org/officeDocument/2006/relationships/hyperlink" Target="https://scholar.google.com.br/citations?hl=pt-BR&amp;view_op=search_venues&amp;vq=+International+Conference+on+Intelligent+Networking+and+Collaborative+Systems&amp;btnG=" TargetMode="External"/><Relationship Id="rId1" Type="http://schemas.openxmlformats.org/officeDocument/2006/relationships/hyperlink" Target="https://scholar.google.com.br/citations?hl=pt-BR&amp;view_op=search_venues&amp;vq=Conference+on+Computer+Supported+Cooperative+Work+%26+Social+Computing&amp;btnG=" TargetMode="External"/><Relationship Id="rId2" Type="http://schemas.openxmlformats.org/officeDocument/2006/relationships/hyperlink" Target="https://scholar.google.com.br/citations?hl=pt-BR&amp;view_op=search_venues&amp;vq=%C2%A0CHI&amp;btnG=" TargetMode="External"/><Relationship Id="rId3" Type="http://schemas.openxmlformats.org/officeDocument/2006/relationships/hyperlink" Target="https://scholar.google.com.br/citations?hl=pt-BR&amp;view_op=search_venues&amp;vq=+International+Conference+on+Supporting+Group+Work&amp;btnG=" TargetMode="External"/><Relationship Id="rId4" Type="http://schemas.openxmlformats.org/officeDocument/2006/relationships/hyperlink" Target="https://scholar.google.com.br/citations?hl=pt-BR&amp;view_op=search_venues&amp;vq=ECSCW&amp;btnG=" TargetMode="External"/><Relationship Id="rId9" Type="http://schemas.openxmlformats.org/officeDocument/2006/relationships/hyperlink" Target="https://scholar.google.com.br/citations?hl=pt-BR&amp;view_op=search_venues&amp;vq=Communities+and+Technologies&amp;btnG=" TargetMode="External"/><Relationship Id="rId5" Type="http://schemas.openxmlformats.org/officeDocument/2006/relationships/hyperlink" Target="https://scholar.google.com.br/citations?hl=pt-BR&amp;view_op=search_venues&amp;vq=+International+Conference+on+Computer+Supported+Collaborative+Learning&amp;btnG=" TargetMode="External"/><Relationship Id="rId6" Type="http://schemas.openxmlformats.org/officeDocument/2006/relationships/hyperlink" Target="https://scholar.google.com.br/citations?hl=pt-BR&amp;view_op=search_venues&amp;vq=CSCWD&amp;btnG=" TargetMode="External"/><Relationship Id="rId7" Type="http://schemas.openxmlformats.org/officeDocument/2006/relationships/hyperlink" Target="https://scholar.google.com.br/citations?hl=pt-BR&amp;view_op=search_venues&amp;vq=IEEE+Conference+Systems+Man+Cybernetic&amp;btnG=" TargetMode="External"/><Relationship Id="rId8" Type="http://schemas.openxmlformats.org/officeDocument/2006/relationships/hyperlink" Target="https://scholar.google.com.br/citations?hl=pt-BR&amp;view_op=search_venues&amp;vq=icwsm&amp;btnG=" TargetMode="External"/></Relationships>
</file>

<file path=xl/worksheets/_rels/sheet22.xml.rels><?xml version="1.0" encoding="UTF-8" standalone="yes"?><Relationships xmlns="http://schemas.openxmlformats.org/package/2006/relationships"><Relationship Id="rId40" Type="http://schemas.openxmlformats.org/officeDocument/2006/relationships/hyperlink" Target="https://dblp.org/db/conf/wise/index.html" TargetMode="External"/><Relationship Id="rId42" Type="http://schemas.openxmlformats.org/officeDocument/2006/relationships/hyperlink" Target="https://dblp.org/db/conf/sigecom/index.html" TargetMode="External"/><Relationship Id="rId41" Type="http://schemas.openxmlformats.org/officeDocument/2006/relationships/hyperlink" Target="https://scholar.google.com/citations?hl=pt-BR&amp;view_op=list_hcore&amp;venue=kXowlNFROIgJ.2019" TargetMode="External"/><Relationship Id="rId44" Type="http://schemas.openxmlformats.org/officeDocument/2006/relationships/hyperlink" Target="https://dblp.org/db/conf/doceng/index.html" TargetMode="External"/><Relationship Id="rId43" Type="http://schemas.openxmlformats.org/officeDocument/2006/relationships/hyperlink" Target="https://scholar.google.com/citations?hl=pt-BR&amp;view_op=list_hcore&amp;venue=C6AfMlHpHa0J.2024" TargetMode="External"/><Relationship Id="rId46" Type="http://schemas.openxmlformats.org/officeDocument/2006/relationships/hyperlink" Target="https://scholar.google.com/citations?hl=pt-BR&amp;view_op=list_hcore&amp;venue=dpWPf1oNwIgJ.2020" TargetMode="External"/><Relationship Id="rId45" Type="http://schemas.openxmlformats.org/officeDocument/2006/relationships/hyperlink" Target="https://scholar.google.com/citations?hl=pt-BR&amp;view_op=list_hcore&amp;venue=jtXTIwcBWV8J.2019" TargetMode="External"/><Relationship Id="rId48" Type="http://schemas.openxmlformats.org/officeDocument/2006/relationships/hyperlink" Target="https://scholar.google.com/citations?hl=pt-BR&amp;view_op=list_hcore&amp;venue=Yh-Vy_bHNYMJ.2020" TargetMode="External"/><Relationship Id="rId47" Type="http://schemas.openxmlformats.org/officeDocument/2006/relationships/hyperlink" Target="https://dblp.org/db/conf/sac/index.html" TargetMode="External"/><Relationship Id="rId49" Type="http://schemas.openxmlformats.org/officeDocument/2006/relationships/hyperlink" Target="https://dblp.org/db/conf/asms-spsc/index.html" TargetMode="External"/><Relationship Id="rId31" Type="http://schemas.openxmlformats.org/officeDocument/2006/relationships/hyperlink" Target="https://dblp.org/db/conf/icws/index.html" TargetMode="External"/><Relationship Id="rId30" Type="http://schemas.openxmlformats.org/officeDocument/2006/relationships/hyperlink" Target="https://scholar.google.com/citations?hl=pt-BR&amp;view_op=list_hcore&amp;venue=UYzshLpmx2EJ.2024" TargetMode="External"/><Relationship Id="rId33" Type="http://schemas.openxmlformats.org/officeDocument/2006/relationships/hyperlink" Target="https://scholar.google.com/citations?hl=pt-BR&amp;view_op=list_hcore&amp;venue=bEDbANOodwgJ.2024" TargetMode="External"/><Relationship Id="rId32" Type="http://schemas.openxmlformats.org/officeDocument/2006/relationships/hyperlink" Target="https://scholar.google.com/scholar?as_q=&amp;as_epq=&amp;as_oq=&amp;as_eq=&amp;as_occt=any&amp;as_sauthors=&amp;as_publication=International+Web+for+All+Conference&amp;as_ylo=2020&amp;as_yhi=2024&amp;hl=pt-BR&amp;as_sdt=0%2C5" TargetMode="External"/><Relationship Id="rId35" Type="http://schemas.openxmlformats.org/officeDocument/2006/relationships/hyperlink" Target="https://scholar.google.com/citations?hl=pt-BR&amp;view_op=list_hcore&amp;venue=Yk_rZmw8Ul4J.2024" TargetMode="External"/><Relationship Id="rId34" Type="http://schemas.openxmlformats.org/officeDocument/2006/relationships/hyperlink" Target="https://dblp.org/db/conf/qomex/index.html" TargetMode="External"/><Relationship Id="rId37" Type="http://schemas.openxmlformats.org/officeDocument/2006/relationships/hyperlink" Target="https://scholar.google.com/citations?hl=pt-BR&amp;view_op=list_hcore&amp;venue=K6EHRjh8bWIJ.2024" TargetMode="External"/><Relationship Id="rId36" Type="http://schemas.openxmlformats.org/officeDocument/2006/relationships/hyperlink" Target="https://dblp.org/db/conf/mmm/index.html" TargetMode="External"/><Relationship Id="rId39" Type="http://schemas.openxmlformats.org/officeDocument/2006/relationships/hyperlink" Target="https://scholar.google.com/citations?hl=pt-BR&amp;view_op=list_hcore&amp;venue=K9DmX5xQU-YJ.2024" TargetMode="External"/><Relationship Id="rId38" Type="http://schemas.openxmlformats.org/officeDocument/2006/relationships/hyperlink" Target="https://dblp.org/db/conf/huc/index.html" TargetMode="External"/><Relationship Id="rId20" Type="http://schemas.openxmlformats.org/officeDocument/2006/relationships/hyperlink" Target="https://scholar.google.com/citations?hl=pt-BR&amp;view_op=list_hcore&amp;venue=VtCeQ7ShDloJ.2024" TargetMode="External"/><Relationship Id="rId22" Type="http://schemas.openxmlformats.org/officeDocument/2006/relationships/hyperlink" Target="https://scholar.google.com/citations?hl=pt-BR&amp;view_op=list_hcore&amp;venue=kXowlNFROIgJ.2024" TargetMode="External"/><Relationship Id="rId21" Type="http://schemas.openxmlformats.org/officeDocument/2006/relationships/hyperlink" Target="https://dblp.org/db/conf/www/index.html" TargetMode="External"/><Relationship Id="rId24" Type="http://schemas.openxmlformats.org/officeDocument/2006/relationships/hyperlink" Target="https://scholar.google.com/citations?hl=pt-BR&amp;view_op=list_hcore&amp;venue=uCHdYLLURp0J.2024" TargetMode="External"/><Relationship Id="rId23" Type="http://schemas.openxmlformats.org/officeDocument/2006/relationships/hyperlink" Target="https://dblp.org/db/conf/cscw/index.html" TargetMode="External"/><Relationship Id="rId26" Type="http://schemas.openxmlformats.org/officeDocument/2006/relationships/hyperlink" Target="https://scholar.google.com/citations?hl=pt-BR&amp;view_op=list_hcore&amp;venue=mf0MeYwvqwoJ.2024" TargetMode="External"/><Relationship Id="rId25" Type="http://schemas.openxmlformats.org/officeDocument/2006/relationships/hyperlink" Target="https://sol.sbc.org.br/index.php/brasnam" TargetMode="External"/><Relationship Id="rId28" Type="http://schemas.openxmlformats.org/officeDocument/2006/relationships/hyperlink" Target="https://scholar.google.com/citations?hl=pt-BR&amp;view_op=list_hcore&amp;venue=I8L8xmsrq2EJ.2024" TargetMode="External"/><Relationship Id="rId27" Type="http://schemas.openxmlformats.org/officeDocument/2006/relationships/hyperlink" Target="https://dblp.org/db/conf/esws/index.html" TargetMode="External"/><Relationship Id="rId29" Type="http://schemas.openxmlformats.org/officeDocument/2006/relationships/hyperlink" Target="https://dblp.org/db/conf/icwe/index.html" TargetMode="External"/><Relationship Id="rId11" Type="http://schemas.openxmlformats.org/officeDocument/2006/relationships/hyperlink" Target="https://scholar.google.com/citations?hl=pt-BR&amp;view_op=list_hcore&amp;venue=vKMrxyJUpv0J.2024" TargetMode="External"/><Relationship Id="rId10" Type="http://schemas.openxmlformats.org/officeDocument/2006/relationships/hyperlink" Target="https://dblp.org/db/conf/wsdm/index.html" TargetMode="External"/><Relationship Id="rId13" Type="http://schemas.openxmlformats.org/officeDocument/2006/relationships/hyperlink" Target="https://scholar.google.com/citations?hl=pt-BR&amp;view_op=list_hcore&amp;venue=iRTf4ImdsEQJ.2024" TargetMode="External"/><Relationship Id="rId12" Type="http://schemas.openxmlformats.org/officeDocument/2006/relationships/hyperlink" Target="https://dblp.org/db/conf/mm/index.html" TargetMode="External"/><Relationship Id="rId15" Type="http://schemas.openxmlformats.org/officeDocument/2006/relationships/hyperlink" Target="https://scholar.google.com/citations?hl=pt-BR&amp;view_op=list_hcore&amp;venue=EL-07Zfxn_kJ.2024" TargetMode="External"/><Relationship Id="rId14" Type="http://schemas.openxmlformats.org/officeDocument/2006/relationships/hyperlink" Target="https://dblp.org/db/conf/mmsys/index.html" TargetMode="External"/><Relationship Id="rId17" Type="http://schemas.openxmlformats.org/officeDocument/2006/relationships/hyperlink" Target="https://sol.sbc.org.br/index.php/webmedia" TargetMode="External"/><Relationship Id="rId16" Type="http://schemas.openxmlformats.org/officeDocument/2006/relationships/hyperlink" Target="https://dblp.org/db/conf/webmedia/index.html" TargetMode="External"/><Relationship Id="rId19" Type="http://schemas.openxmlformats.org/officeDocument/2006/relationships/hyperlink" Target="https://dblp.org/db/conf/icmcs/index.html" TargetMode="External"/><Relationship Id="rId18" Type="http://schemas.openxmlformats.org/officeDocument/2006/relationships/hyperlink" Target="https://scholar.google.com/citations?hl=pt-BR&amp;view_op=list_hcore&amp;venue=xYXdFLRJbCMJ.2024" TargetMode="External"/><Relationship Id="rId1" Type="http://schemas.openxmlformats.org/officeDocument/2006/relationships/hyperlink" Target="https://scholar.google.com/citations?hl=pt-BR&amp;view_op=list_hcore&amp;venue=U4LFuNlM8GMJ.2024" TargetMode="External"/><Relationship Id="rId2" Type="http://schemas.openxmlformats.org/officeDocument/2006/relationships/hyperlink" Target="https://dblp.org/db/conf/ht/index.html" TargetMode="External"/><Relationship Id="rId3" Type="http://schemas.openxmlformats.org/officeDocument/2006/relationships/hyperlink" Target="https://scholar.google.com/citations?hl=pt-BR&amp;view_op=list_hcore&amp;venue=4-w_STT7RmEJ.2024" TargetMode="External"/><Relationship Id="rId4" Type="http://schemas.openxmlformats.org/officeDocument/2006/relationships/hyperlink" Target="https://dblp.org/db/conf/recsys/index.html" TargetMode="External"/><Relationship Id="rId9" Type="http://schemas.openxmlformats.org/officeDocument/2006/relationships/hyperlink" Target="https://scholar.google.com/citations?hl=pt-BR&amp;view_op=list_hcore&amp;venue=4-w_STT7RmEJ.2020" TargetMode="External"/><Relationship Id="rId5" Type="http://schemas.openxmlformats.org/officeDocument/2006/relationships/hyperlink" Target="https://scholar.google.com/citations?hl=pt-BR&amp;view_op=list_hcore&amp;venue=DSB1DhJ431MJ.2024" TargetMode="External"/><Relationship Id="rId6" Type="http://schemas.openxmlformats.org/officeDocument/2006/relationships/hyperlink" Target="https://dblp.org/db/conf/tvx/index.html" TargetMode="External"/><Relationship Id="rId7" Type="http://schemas.openxmlformats.org/officeDocument/2006/relationships/hyperlink" Target="https://scholar.google.com/citations?hl=pt-BR&amp;view_op=list_hcore&amp;venue=_3Q9NfFmueMJ.2024" TargetMode="External"/><Relationship Id="rId8" Type="http://schemas.openxmlformats.org/officeDocument/2006/relationships/hyperlink" Target="https://dblp.org/db/conf/mir/index.html" TargetMode="External"/><Relationship Id="rId73" Type="http://schemas.openxmlformats.org/officeDocument/2006/relationships/hyperlink" Target="https://scholar.google.com/citations?hl=pt-BR&amp;view_op=list_hcore&amp;venue=KIaJcB9oivgJ.2023" TargetMode="External"/><Relationship Id="rId72" Type="http://schemas.openxmlformats.org/officeDocument/2006/relationships/hyperlink" Target="https://dblp.org/db/conf/imc/index.html" TargetMode="External"/><Relationship Id="rId75" Type="http://schemas.openxmlformats.org/officeDocument/2006/relationships/hyperlink" Target="https://scholar.google.com/citations?hl=pt-BR&amp;view_op=list_hcore&amp;venue=jtXTIwcBWV8J.2023" TargetMode="External"/><Relationship Id="rId74" Type="http://schemas.openxmlformats.org/officeDocument/2006/relationships/hyperlink" Target="https://sol.sbc.org.br/index.php/sbcup" TargetMode="External"/><Relationship Id="rId77" Type="http://schemas.openxmlformats.org/officeDocument/2006/relationships/drawing" Target="../drawings/drawing22.xml"/><Relationship Id="rId76" Type="http://schemas.openxmlformats.org/officeDocument/2006/relationships/hyperlink" Target="https://dblp.org/db/conf/um/index.html" TargetMode="External"/><Relationship Id="rId71" Type="http://schemas.openxmlformats.org/officeDocument/2006/relationships/hyperlink" Target="http://laweb2019.icomp.ufam.edu.br/" TargetMode="External"/><Relationship Id="rId70" Type="http://schemas.openxmlformats.org/officeDocument/2006/relationships/hyperlink" Target="https://dblp.org/db/conf/criwg/index.html" TargetMode="External"/><Relationship Id="rId62" Type="http://schemas.openxmlformats.org/officeDocument/2006/relationships/hyperlink" Target="https://dblp.org/db/conf/momm/index.html" TargetMode="External"/><Relationship Id="rId61" Type="http://schemas.openxmlformats.org/officeDocument/2006/relationships/hyperlink" Target="https://scholar.google.com.br/citations?hl=en&amp;view_op=list_hcore&amp;venue=nZ1bm2kqGmUJ.2019" TargetMode="External"/><Relationship Id="rId64" Type="http://schemas.openxmlformats.org/officeDocument/2006/relationships/hyperlink" Target="https://dblp.org/db/conf/mum/index.html" TargetMode="External"/><Relationship Id="rId63" Type="http://schemas.openxmlformats.org/officeDocument/2006/relationships/hyperlink" Target="https://scholar.google.com/citations?hl=pt-BR&amp;view_op=list_hcore&amp;venue=ZC8PGgykt-EJ.2019" TargetMode="External"/><Relationship Id="rId66" Type="http://schemas.openxmlformats.org/officeDocument/2006/relationships/hyperlink" Target="https://dblp.org/db/conf/icwsm/index.html" TargetMode="External"/><Relationship Id="rId65" Type="http://schemas.openxmlformats.org/officeDocument/2006/relationships/hyperlink" Target="https://scholar.google.com/citations?hl=pt-BR&amp;view_op=list_hcore&amp;venue=PZoAL1XKdJoJ.2019" TargetMode="External"/><Relationship Id="rId68" Type="http://schemas.openxmlformats.org/officeDocument/2006/relationships/hyperlink" Target="https://dblp.org/db/conf/cbmi/index.html" TargetMode="External"/><Relationship Id="rId67" Type="http://schemas.openxmlformats.org/officeDocument/2006/relationships/hyperlink" Target="https://scholar.google.com/citations?hl=pt-BR&amp;view_op=list_hcore&amp;venue=DOUIAOEhqWUJ.2019" TargetMode="External"/><Relationship Id="rId60" Type="http://schemas.openxmlformats.org/officeDocument/2006/relationships/hyperlink" Target="https://dblp.org/db/conf/mmsp/index.html" TargetMode="External"/><Relationship Id="rId69" Type="http://schemas.openxmlformats.org/officeDocument/2006/relationships/hyperlink" Target="https://scholar.google.com/citations?hl=pt-BR&amp;view_op=list_hcore&amp;venue=eLhWa3qzEDsJ.2020" TargetMode="External"/><Relationship Id="rId51" Type="http://schemas.openxmlformats.org/officeDocument/2006/relationships/hyperlink" Target="https://dblp.org/db/conf/icassp/index.html" TargetMode="External"/><Relationship Id="rId50" Type="http://schemas.openxmlformats.org/officeDocument/2006/relationships/hyperlink" Target="https://scholar.google.com/citations?hl=pt-BR&amp;view_op=list_hcore&amp;venue=N_9FWgf0qxMJ.2019" TargetMode="External"/><Relationship Id="rId53" Type="http://schemas.openxmlformats.org/officeDocument/2006/relationships/hyperlink" Target="https://scholar.google.com.br/citations?hl=en&amp;view_op=list_hcore&amp;venue=uCHdYLLURp0J.2020" TargetMode="External"/><Relationship Id="rId52" Type="http://schemas.openxmlformats.org/officeDocument/2006/relationships/hyperlink" Target="https://scholar.google.com/citations?hl=pt-BR&amp;view_op=list_hcore&amp;venue=K9DmX5xQU-YJ.2020" TargetMode="External"/><Relationship Id="rId55" Type="http://schemas.openxmlformats.org/officeDocument/2006/relationships/hyperlink" Target="https://scholar.google.com.br/citations?hl=en&amp;view_op=list_hcore&amp;venue=VXpZxWaAe0QJ.2019" TargetMode="External"/><Relationship Id="rId54" Type="http://schemas.openxmlformats.org/officeDocument/2006/relationships/hyperlink" Target="https://dblp.org/db/conf/wowmom/index.html" TargetMode="External"/><Relationship Id="rId57" Type="http://schemas.openxmlformats.org/officeDocument/2006/relationships/hyperlink" Target="https://scholar.google.com.br/citations?hl=en&amp;view_op=list_hcore&amp;venue=_45azmq7lgwJ.2019" TargetMode="External"/><Relationship Id="rId56" Type="http://schemas.openxmlformats.org/officeDocument/2006/relationships/hyperlink" Target="https://dblp.org/db/conf/bmsb/index.html" TargetMode="External"/><Relationship Id="rId59" Type="http://schemas.openxmlformats.org/officeDocument/2006/relationships/hyperlink" Target="https://scholar.google.com.br/citations?hl=en&amp;view_op=list_hcore&amp;venue=O90WS0zZyBYJ.2019" TargetMode="External"/><Relationship Id="rId58" Type="http://schemas.openxmlformats.org/officeDocument/2006/relationships/hyperlink" Target="https://dblp.org/db/conf/ism/index.html" TargetMode="External"/></Relationships>
</file>

<file path=xl/worksheets/_rels/sheet23.xml.rels><?xml version="1.0" encoding="UTF-8" standalone="yes"?><Relationships xmlns="http://schemas.openxmlformats.org/package/2006/relationships"><Relationship Id="rId40" Type="http://schemas.openxmlformats.org/officeDocument/2006/relationships/hyperlink" Target="https://scholar.google.com.br/citations?hl=pt-BR&amp;view_op=list_hcore&amp;venue=ihIDe6biV1gJ.2024" TargetMode="External"/><Relationship Id="rId42" Type="http://schemas.openxmlformats.org/officeDocument/2006/relationships/hyperlink" Target="https://dblp.org/db/conf/bmvc/index.html" TargetMode="External"/><Relationship Id="rId41" Type="http://schemas.openxmlformats.org/officeDocument/2006/relationships/hyperlink" Target="https://scholar.google.com.br/citations?hl=pt-BR&amp;view_op=list_hcore&amp;venue=T_DfB2ikUbwJ.2024" TargetMode="External"/><Relationship Id="rId44" Type="http://schemas.openxmlformats.org/officeDocument/2006/relationships/hyperlink" Target="https://dblp.org/db/conf/icip/index.html" TargetMode="External"/><Relationship Id="rId43" Type="http://schemas.openxmlformats.org/officeDocument/2006/relationships/hyperlink" Target="https://scholar.google.com.br/citations?hl=pt-BR&amp;view_op=list_hcore&amp;venue=a9ZSGA40nccJ.2024" TargetMode="External"/><Relationship Id="rId46" Type="http://schemas.openxmlformats.org/officeDocument/2006/relationships/hyperlink" Target="https://dblp.org/db/conf/wacv/index.html" TargetMode="External"/><Relationship Id="rId45" Type="http://schemas.openxmlformats.org/officeDocument/2006/relationships/hyperlink" Target="https://scholar.google.com.br/citations?hl=pt-BR&amp;view_op=list_hcore&amp;venue=uo-zCIky-iEJ.2024" TargetMode="External"/><Relationship Id="rId48" Type="http://schemas.openxmlformats.org/officeDocument/2006/relationships/hyperlink" Target="https://dblp.org/db/conf/fgr/index.html" TargetMode="External"/><Relationship Id="rId47" Type="http://schemas.openxmlformats.org/officeDocument/2006/relationships/hyperlink" Target="https://scholar.google.com.br/citations?hl=pt-BR&amp;vq=eng_computervisionpatternrecognition&amp;view_op=list_hcore&amp;venue=tOKomDtxujwJ.2024" TargetMode="External"/><Relationship Id="rId49" Type="http://schemas.openxmlformats.org/officeDocument/2006/relationships/hyperlink" Target="https://scholar.google.com.br/citations?hl=pt-BR&amp;view_op=list_hcore&amp;venue=ywdGSlWdBhkJ.2024" TargetMode="External"/><Relationship Id="rId31" Type="http://schemas.openxmlformats.org/officeDocument/2006/relationships/hyperlink" Target="https://scholar.google.com.br/citations?hl=pt-BR&amp;view_op=list_hcore&amp;venue=ljGmmUmHfUwJ.2024" TargetMode="External"/><Relationship Id="rId30" Type="http://schemas.openxmlformats.org/officeDocument/2006/relationships/hyperlink" Target="https://dblp.org/db/conf/tabletop/index.html" TargetMode="External"/><Relationship Id="rId33" Type="http://schemas.openxmlformats.org/officeDocument/2006/relationships/hyperlink" Target="https://dblp.org/db/conf/grapp/index.html" TargetMode="External"/><Relationship Id="rId32" Type="http://schemas.openxmlformats.org/officeDocument/2006/relationships/hyperlink" Target="https://scholar.google.com.br/citations?hl=pt-BR&amp;view_op=list_hcore&amp;venue=ulaSNA5ZgjEJ.2024" TargetMode="External"/><Relationship Id="rId35" Type="http://schemas.openxmlformats.org/officeDocument/2006/relationships/hyperlink" Target="https://dblp.org/db/conf/vmv/index.html" TargetMode="External"/><Relationship Id="rId34" Type="http://schemas.openxmlformats.org/officeDocument/2006/relationships/hyperlink" Target="https://dblp.org/db/conf/aivr/index.html" TargetMode="External"/><Relationship Id="rId37" Type="http://schemas.openxmlformats.org/officeDocument/2006/relationships/hyperlink" Target="https://dblp.org/db/conf/ivapp/index.html" TargetMode="External"/><Relationship Id="rId36" Type="http://schemas.openxmlformats.org/officeDocument/2006/relationships/hyperlink" Target="https://scholar.google.com.br/citations?hl=pt-BR&amp;vq=eng_humancomputerinteraction&amp;view_op=list_hcore&amp;venue=kXowlNFROIgJ.2024" TargetMode="External"/><Relationship Id="rId39" Type="http://schemas.openxmlformats.org/officeDocument/2006/relationships/hyperlink" Target="https://dblp.org/db/conf/rss/index.html" TargetMode="External"/><Relationship Id="rId38" Type="http://schemas.openxmlformats.org/officeDocument/2006/relationships/hyperlink" Target="https://scholar.google.com.br/citations?hl=pt-BR&amp;view_op=list_hcore&amp;venue=jl5pTV5Sh0AJ.2024" TargetMode="External"/><Relationship Id="rId20" Type="http://schemas.openxmlformats.org/officeDocument/2006/relationships/hyperlink" Target="https://scholar.google.com.br/citations?hl=pt-BR&amp;view_op=search_venues&amp;vq=ACM+SIGCHI+Symposium+on+Engineering+Interactive+Computing+Systems&amp;btnG=" TargetMode="External"/><Relationship Id="rId22" Type="http://schemas.openxmlformats.org/officeDocument/2006/relationships/hyperlink" Target="https://dblp.org/db/conf/graphicsinterface/index.html" TargetMode="External"/><Relationship Id="rId21" Type="http://schemas.openxmlformats.org/officeDocument/2006/relationships/hyperlink" Target="https://dblp.org/db/conf/eics/index.html" TargetMode="External"/><Relationship Id="rId24" Type="http://schemas.openxmlformats.org/officeDocument/2006/relationships/hyperlink" Target="https://scholar.google.com.br/citations?hl=pt-BR&amp;view_op=search_venues&amp;vq=Advanced+Visual+Interfaces&amp;btnG=" TargetMode="External"/><Relationship Id="rId23" Type="http://schemas.openxmlformats.org/officeDocument/2006/relationships/hyperlink" Target="https://dblp.org/db/conf/si3d/index.html" TargetMode="External"/><Relationship Id="rId26" Type="http://schemas.openxmlformats.org/officeDocument/2006/relationships/hyperlink" Target="https://dblp.org/db/conf/ldav/index.html" TargetMode="External"/><Relationship Id="rId25" Type="http://schemas.openxmlformats.org/officeDocument/2006/relationships/hyperlink" Target="https://dblp.org/db/conf/avi/index.html" TargetMode="External"/><Relationship Id="rId28" Type="http://schemas.openxmlformats.org/officeDocument/2006/relationships/hyperlink" Target="https://dblp.org/db/conf/eurohaptics/index.html" TargetMode="External"/><Relationship Id="rId27" Type="http://schemas.openxmlformats.org/officeDocument/2006/relationships/hyperlink" Target="https://scholar.google.com.br/citations?hl=pt-BR&amp;view_op=list_hcore&amp;venue=G77T8N63lDIJ.2023" TargetMode="External"/><Relationship Id="rId29" Type="http://schemas.openxmlformats.org/officeDocument/2006/relationships/hyperlink" Target="https://scholar.google.com.br/citations?hl=en&amp;view_op=list_hcore&amp;venue=js1p_d4DBXkJ.2024" TargetMode="External"/><Relationship Id="rId11" Type="http://schemas.openxmlformats.org/officeDocument/2006/relationships/hyperlink" Target="https://scholar.google.com.br/citations?hl=pt-BR&amp;view_op=list_hcore&amp;venue=Y15SCgN8Um8J.2024" TargetMode="External"/><Relationship Id="rId10" Type="http://schemas.openxmlformats.org/officeDocument/2006/relationships/hyperlink" Target="https://dblp.org/db/conf/vrcai/index.html" TargetMode="External"/><Relationship Id="rId13" Type="http://schemas.openxmlformats.org/officeDocument/2006/relationships/hyperlink" Target="https://dblp.org/db/conf/sui/index.html" TargetMode="External"/><Relationship Id="rId12" Type="http://schemas.openxmlformats.org/officeDocument/2006/relationships/hyperlink" Target="https://scholar.google.com.br/citations?hl=pt-BR&amp;view_op=list_hcore&amp;venue=pUIVy52VbeEJ.2024" TargetMode="External"/><Relationship Id="rId15" Type="http://schemas.openxmlformats.org/officeDocument/2006/relationships/hyperlink" Target="https://dblp.org/db/conf/uist/index.html" TargetMode="External"/><Relationship Id="rId14" Type="http://schemas.openxmlformats.org/officeDocument/2006/relationships/hyperlink" Target="https://scholar.google.com.br/citations?hl=pt-BR&amp;view_op=list_hcore&amp;venue=vl9z3BzoXrgJ.2024" TargetMode="External"/><Relationship Id="rId17" Type="http://schemas.openxmlformats.org/officeDocument/2006/relationships/hyperlink" Target="https://dblp.org/db/conf/haptics/index.html" TargetMode="External"/><Relationship Id="rId16" Type="http://schemas.openxmlformats.org/officeDocument/2006/relationships/hyperlink" Target="https://scholar.google.com.br/citations?hl=pt-BR&amp;view_op=search_venues&amp;vq=EuroHaptics&amp;btnG=" TargetMode="External"/><Relationship Id="rId19" Type="http://schemas.openxmlformats.org/officeDocument/2006/relationships/hyperlink" Target="https://dblp.org/db/conf/vrml/index.html" TargetMode="External"/><Relationship Id="rId18" Type="http://schemas.openxmlformats.org/officeDocument/2006/relationships/hyperlink" Target="https://scholar.google.com.br/citations?hl=pt-BR&amp;view_op=list_hcore&amp;venue=AI-4Soe4vNMJ.2024" TargetMode="External"/><Relationship Id="rId84" Type="http://schemas.openxmlformats.org/officeDocument/2006/relationships/hyperlink" Target="https://scholar.google.com.br/citations?hl=pt-BR&amp;view_op=list_hcore&amp;venue=ISkzejISPjIJ.2024" TargetMode="External"/><Relationship Id="rId83" Type="http://schemas.openxmlformats.org/officeDocument/2006/relationships/hyperlink" Target="https://dblp.org/db/conf/acmidc/index.html" TargetMode="External"/><Relationship Id="rId86" Type="http://schemas.openxmlformats.org/officeDocument/2006/relationships/hyperlink" Target="https://scholar.google.com.br/citations?hl=pt-BR&amp;view_op=list_hcore&amp;venue=FYz8XSTnq6sJ.2024" TargetMode="External"/><Relationship Id="rId85" Type="http://schemas.openxmlformats.org/officeDocument/2006/relationships/hyperlink" Target="https://dblp.org/db/conf/visualization/index.html" TargetMode="External"/><Relationship Id="rId88" Type="http://schemas.openxmlformats.org/officeDocument/2006/relationships/hyperlink" Target="https://scholar.google.com.br/citations?hl=pt-BR&amp;view_op=list_hcore&amp;venue=1h7Rot6-J5EJ.2024" TargetMode="External"/><Relationship Id="rId150" Type="http://schemas.openxmlformats.org/officeDocument/2006/relationships/hyperlink" Target="https://scholar.google.com.br/citations?hl=pt-BR&amp;view_op=list_hcore&amp;venue=dV-L3bCgyPcJ.2024" TargetMode="External"/><Relationship Id="rId87" Type="http://schemas.openxmlformats.org/officeDocument/2006/relationships/hyperlink" Target="https://dblp.org/db/conf/mhci/index.html" TargetMode="External"/><Relationship Id="rId89" Type="http://schemas.openxmlformats.org/officeDocument/2006/relationships/hyperlink" Target="https://dblp.org/db/conf/iccv/index.html" TargetMode="External"/><Relationship Id="rId80" Type="http://schemas.openxmlformats.org/officeDocument/2006/relationships/hyperlink" Target="https://scholar.google.com.br/citations?hl=pt-BR&amp;view_op=list_hcore&amp;venue=NL3siS1OXxYJ.2024" TargetMode="External"/><Relationship Id="rId82" Type="http://schemas.openxmlformats.org/officeDocument/2006/relationships/hyperlink" Target="https://scholar.google.com.br/citations?hl=pt-BR&amp;view_op=list_hcore&amp;venue=6bHuP8hpZRIJ.2024" TargetMode="External"/><Relationship Id="rId81" Type="http://schemas.openxmlformats.org/officeDocument/2006/relationships/hyperlink" Target="https://dblp.org/db/conf/ACMdis/index.html?q=Conference%20on%20Designing%20Interactive%20Systems" TargetMode="External"/><Relationship Id="rId1" Type="http://schemas.openxmlformats.org/officeDocument/2006/relationships/hyperlink" Target="https://scholar.google.com.br/citations?hl=pt-BR&amp;view_op=list_hcore&amp;venue=muc8DCDEiWcJ.2024" TargetMode="External"/><Relationship Id="rId2" Type="http://schemas.openxmlformats.org/officeDocument/2006/relationships/hyperlink" Target="https://dblp.org/db/conf/vr/index.html" TargetMode="External"/><Relationship Id="rId3" Type="http://schemas.openxmlformats.org/officeDocument/2006/relationships/hyperlink" Target="https://scholar.google.com.br/citations?hl=en&amp;view_op=list_hcore&amp;venue=saKKhfQeF-MJ.2024" TargetMode="External"/><Relationship Id="rId149" Type="http://schemas.openxmlformats.org/officeDocument/2006/relationships/hyperlink" Target="https://dblp.org/db/conf/ihc/index.html" TargetMode="External"/><Relationship Id="rId4" Type="http://schemas.openxmlformats.org/officeDocument/2006/relationships/hyperlink" Target="https://dblp.org/db/conf/ismar/index.html" TargetMode="External"/><Relationship Id="rId148" Type="http://schemas.openxmlformats.org/officeDocument/2006/relationships/hyperlink" Target="https://scholar.google.com.br/citations?hl=pt-BR&amp;view_op=list_hcore&amp;venue=YC7yoNYrtdAJ.2024" TargetMode="External"/><Relationship Id="rId9" Type="http://schemas.openxmlformats.org/officeDocument/2006/relationships/hyperlink" Target="https://scholar.google.com.br/citations?hl=en&amp;view_op=list_hcore&amp;venue=_ClHVElQWS8J.2024" TargetMode="External"/><Relationship Id="rId143" Type="http://schemas.openxmlformats.org/officeDocument/2006/relationships/hyperlink" Target="https://scholar.google.com.br/citations?hl=pt-BR&amp;view_op=list_hcore&amp;venue=ce7ecw4OEFoJ.2024" TargetMode="External"/><Relationship Id="rId142" Type="http://schemas.openxmlformats.org/officeDocument/2006/relationships/hyperlink" Target="https://dblp.org/db/conf/mva/index.html" TargetMode="External"/><Relationship Id="rId141" Type="http://schemas.openxmlformats.org/officeDocument/2006/relationships/hyperlink" Target="https://scholar.google.com.br/citations?hl=pt-BR&amp;view_op=list_hcore&amp;venue=5GsHps3NV78J.2024" TargetMode="External"/><Relationship Id="rId140" Type="http://schemas.openxmlformats.org/officeDocument/2006/relationships/hyperlink" Target="https://dblp.org/db/conf/sbac-pad/index.html" TargetMode="External"/><Relationship Id="rId5" Type="http://schemas.openxmlformats.org/officeDocument/2006/relationships/hyperlink" Target="https://scholar.google.com.br/citations?hl=pt-BR&amp;view_op=list_hcore&amp;venue=HqiGvACsawYJ.2024" TargetMode="External"/><Relationship Id="rId147" Type="http://schemas.openxmlformats.org/officeDocument/2006/relationships/hyperlink" Target="https://sol.sbc.org.br/index.php/webmedia" TargetMode="External"/><Relationship Id="rId6" Type="http://schemas.openxmlformats.org/officeDocument/2006/relationships/hyperlink" Target="https://dblp.org/db/conf/aughuman/index.html" TargetMode="External"/><Relationship Id="rId146" Type="http://schemas.openxmlformats.org/officeDocument/2006/relationships/hyperlink" Target="https://dblp.org/db/conf/webmedia/index.html" TargetMode="External"/><Relationship Id="rId7" Type="http://schemas.openxmlformats.org/officeDocument/2006/relationships/hyperlink" Target="https://scholar.google.com.br/citations?hl=pt-BR&amp;view_op=list_hcore&amp;venue=QFdzrecfz8sJ.2024" TargetMode="External"/><Relationship Id="rId145" Type="http://schemas.openxmlformats.org/officeDocument/2006/relationships/hyperlink" Target="https://scholar.google.com.br/citations?hl=pt-BR&amp;view_op=list_hcore&amp;venue=EL-07Zfxn_kJ.2024" TargetMode="External"/><Relationship Id="rId8" Type="http://schemas.openxmlformats.org/officeDocument/2006/relationships/hyperlink" Target="https://dblp.org/db/conf/vrst/index.html" TargetMode="External"/><Relationship Id="rId144" Type="http://schemas.openxmlformats.org/officeDocument/2006/relationships/hyperlink" Target="https://dblp.org/db/conf/sbcci/index.html" TargetMode="External"/><Relationship Id="rId73" Type="http://schemas.openxmlformats.org/officeDocument/2006/relationships/hyperlink" Target="https://dblp.org/db/conf/cvpr/index.html" TargetMode="External"/><Relationship Id="rId72" Type="http://schemas.openxmlformats.org/officeDocument/2006/relationships/hyperlink" Target="https://scholar.google.com.br/citations?hl=pt-BR&amp;view_op=list_hcore&amp;venue=w44irn7CFc0J.2024" TargetMode="External"/><Relationship Id="rId75" Type="http://schemas.openxmlformats.org/officeDocument/2006/relationships/hyperlink" Target="https://dblp.org/db/conf/chi/index.html" TargetMode="External"/><Relationship Id="rId74" Type="http://schemas.openxmlformats.org/officeDocument/2006/relationships/hyperlink" Target="https://scholar.google.com.br/citations?hl=pt-BR&amp;vq=eng_humancomputerinteraction&amp;view_op=list_hcore&amp;venue=6NNnGOq9_mAJ.2024" TargetMode="External"/><Relationship Id="rId77" Type="http://schemas.openxmlformats.org/officeDocument/2006/relationships/hyperlink" Target="https://dblp.org/db/conf/chi/index.html" TargetMode="External"/><Relationship Id="rId76" Type="http://schemas.openxmlformats.org/officeDocument/2006/relationships/hyperlink" Target="https://scholar.google.com.br/citations?hl=pt-BR&amp;vq=eng_humancomputerinteraction&amp;view_op=list_hcore&amp;venue=KRPnqF5qBUgJ.2024" TargetMode="External"/><Relationship Id="rId79" Type="http://schemas.openxmlformats.org/officeDocument/2006/relationships/hyperlink" Target="https://dblp.org/db/conf/3dim/index.html" TargetMode="External"/><Relationship Id="rId78" Type="http://schemas.openxmlformats.org/officeDocument/2006/relationships/hyperlink" Target="https://scholar.google.com.br/citations?hl=pt-BR&amp;view_op=list_hcore&amp;venue=_QeiDtrgUSoJ.2024" TargetMode="External"/><Relationship Id="rId71" Type="http://schemas.openxmlformats.org/officeDocument/2006/relationships/hyperlink" Target="https://dblp.org/db/conf/icmcs/index.html" TargetMode="External"/><Relationship Id="rId70" Type="http://schemas.openxmlformats.org/officeDocument/2006/relationships/hyperlink" Target="https://scholar.google.com.br/citations?hl=pt-BR&amp;view_op=list_hcore&amp;venue=csTrlFozg_IJ.2024" TargetMode="External"/><Relationship Id="rId139" Type="http://schemas.openxmlformats.org/officeDocument/2006/relationships/hyperlink" Target="https://scholar.google.com.br/citations?hl=pt-BR&amp;view_op=list_hcore&amp;venue=xujU2BmpDawJ.2024" TargetMode="External"/><Relationship Id="rId138" Type="http://schemas.openxmlformats.org/officeDocument/2006/relationships/hyperlink" Target="https://dblp.org/db/conf/icar/index.html" TargetMode="External"/><Relationship Id="rId137" Type="http://schemas.openxmlformats.org/officeDocument/2006/relationships/hyperlink" Target="https://scholar.google.com.br/citations?hl=en&amp;view_op=list_hcore&amp;venue=QTCI2sX39qUJ.2024" TargetMode="External"/><Relationship Id="rId132" Type="http://schemas.openxmlformats.org/officeDocument/2006/relationships/hyperlink" Target="https://dblp.org/db/conf/sibgrapi/index.html" TargetMode="External"/><Relationship Id="rId131" Type="http://schemas.openxmlformats.org/officeDocument/2006/relationships/hyperlink" Target="https://scholar.google.com.br/citations?hl=pt-BR&amp;view_op=list_hcore&amp;venue=sPLlun2OWTwJ.2024" TargetMode="External"/><Relationship Id="rId130" Type="http://schemas.openxmlformats.org/officeDocument/2006/relationships/hyperlink" Target="https://dblp.org/db/conf/iticse/index.html" TargetMode="External"/><Relationship Id="rId136" Type="http://schemas.openxmlformats.org/officeDocument/2006/relationships/hyperlink" Target="https://sol.sbc.org.br/index.php/sbie" TargetMode="External"/><Relationship Id="rId135" Type="http://schemas.openxmlformats.org/officeDocument/2006/relationships/hyperlink" Target="https://scholar.google.com.br/citations?hl=pt-BR&amp;view_op=list_hcore&amp;venue=qMlBqP1FA1wJ.2024" TargetMode="External"/><Relationship Id="rId134" Type="http://schemas.openxmlformats.org/officeDocument/2006/relationships/hyperlink" Target="https://dblp.org/db/conf/ieeevast/index.html" TargetMode="External"/><Relationship Id="rId133" Type="http://schemas.openxmlformats.org/officeDocument/2006/relationships/hyperlink" Target="https://sol.sbc.org.br/index.php/sibgrapi" TargetMode="External"/><Relationship Id="rId62" Type="http://schemas.openxmlformats.org/officeDocument/2006/relationships/hyperlink" Target="https://scholar.google.com.br/citations?hl=pt-BR&amp;view_op=list_hcore&amp;venue=cVHg_1PrXPkJ.2024" TargetMode="External"/><Relationship Id="rId61" Type="http://schemas.openxmlformats.org/officeDocument/2006/relationships/hyperlink" Target="https://scholar.google.com.br/citations?hl=pt-BR&amp;vq=eng_robotics&amp;view_op=list_hcore&amp;venue=P7JmirE2spgJ.2024" TargetMode="External"/><Relationship Id="rId64" Type="http://schemas.openxmlformats.org/officeDocument/2006/relationships/hyperlink" Target="https://scholar.google.com.br/citations?hl=pt-BR&amp;vq=eng_humancomputerinteraction&amp;view_op=list_hcore&amp;venue=-_BzfdwqRVsJ.2024" TargetMode="External"/><Relationship Id="rId63" Type="http://schemas.openxmlformats.org/officeDocument/2006/relationships/hyperlink" Target="https://dblp.org/db/conf/icpr/index.html" TargetMode="External"/><Relationship Id="rId66" Type="http://schemas.openxmlformats.org/officeDocument/2006/relationships/hyperlink" Target="https://scholar.google.com.br/citations?hl=pt-BR&amp;vq=eng_multimedia&amp;view_op=list_hcore&amp;venue=iRTf4ImdsEQJ.2024" TargetMode="External"/><Relationship Id="rId65" Type="http://schemas.openxmlformats.org/officeDocument/2006/relationships/hyperlink" Target="https://dblp.org/db/conf/iui/index.html" TargetMode="External"/><Relationship Id="rId68" Type="http://schemas.openxmlformats.org/officeDocument/2006/relationships/hyperlink" Target="https://scholar.google.com/citations?hl=en&amp;view_op=list_hcore&amp;venue=v05i1s2aH5wJ.2024" TargetMode="External"/><Relationship Id="rId67" Type="http://schemas.openxmlformats.org/officeDocument/2006/relationships/hyperlink" Target="https://dblp.org/db/conf/mmsys/index.html" TargetMode="External"/><Relationship Id="rId60" Type="http://schemas.openxmlformats.org/officeDocument/2006/relationships/hyperlink" Target="https://dblp.org/db/conf/sac/index.html" TargetMode="External"/><Relationship Id="rId69" Type="http://schemas.openxmlformats.org/officeDocument/2006/relationships/hyperlink" Target="https://dblp.org/db/conf/hci/index.html" TargetMode="External"/><Relationship Id="rId162" Type="http://schemas.openxmlformats.org/officeDocument/2006/relationships/drawing" Target="../drawings/drawing23.xml"/><Relationship Id="rId51" Type="http://schemas.openxmlformats.org/officeDocument/2006/relationships/hyperlink" Target="https://scholar.google.com.br/citations?hl=pt-BR&amp;view_op=list_hcore&amp;venue=_3Q9NfFmueMJ.2024" TargetMode="External"/><Relationship Id="rId50" Type="http://schemas.openxmlformats.org/officeDocument/2006/relationships/hyperlink" Target="https://dblp.org/db/conf/hri/index.html" TargetMode="External"/><Relationship Id="rId53" Type="http://schemas.openxmlformats.org/officeDocument/2006/relationships/hyperlink" Target="https://scholar.google.com.br/citations?hl=en&amp;view_op=list_hcore&amp;venue=rrlriATuz7wJ.2024" TargetMode="External"/><Relationship Id="rId52" Type="http://schemas.openxmlformats.org/officeDocument/2006/relationships/hyperlink" Target="https://dblp.org/db/conf/mir/index.html" TargetMode="External"/><Relationship Id="rId55" Type="http://schemas.openxmlformats.org/officeDocument/2006/relationships/hyperlink" Target="https://scholar.google.com.br/citations?hl=pt-BR&amp;view_op=list_hcore&amp;venue=C6G2a_KY88AJ.2024" TargetMode="External"/><Relationship Id="rId161" Type="http://schemas.openxmlformats.org/officeDocument/2006/relationships/hyperlink" Target="https://scholar.google.com.br/citations?hl=pt-BR&amp;view_op=search_venues&amp;vq=IEEE+Symposium+on+Security+and+Privacy&amp;btnG=" TargetMode="External"/><Relationship Id="rId54" Type="http://schemas.openxmlformats.org/officeDocument/2006/relationships/hyperlink" Target="https://dblp.org/db/conf/sigcse/index.html" TargetMode="External"/><Relationship Id="rId160" Type="http://schemas.openxmlformats.org/officeDocument/2006/relationships/hyperlink" Target="https://scholar.google.com.br/citations?hl=pt-BR&amp;view_op=search_venues&amp;vq=Simp%C3%B3sio+de+Sistemas+Computacionais+de+Alto+Desempenho&amp;btnG=" TargetMode="External"/><Relationship Id="rId57" Type="http://schemas.openxmlformats.org/officeDocument/2006/relationships/hyperlink" Target="https://scholar.google.com.br/citations?hl=pt-BR&amp;vq=eng_humancomputerinteraction&amp;view_op=list_hcore&amp;venue=FeNM07eYolwJ.2024" TargetMode="External"/><Relationship Id="rId56" Type="http://schemas.openxmlformats.org/officeDocument/2006/relationships/hyperlink" Target="https://dblp.org/db/conf/accv/index.html" TargetMode="External"/><Relationship Id="rId159" Type="http://schemas.openxmlformats.org/officeDocument/2006/relationships/hyperlink" Target="https://dblp.org/db/conf/scivis/index.html" TargetMode="External"/><Relationship Id="rId59" Type="http://schemas.openxmlformats.org/officeDocument/2006/relationships/hyperlink" Target="https://scholar.google.com.br/citations?hl=pt-BR&amp;view_op=list_hcore&amp;venue=eLhWa3qzEDsJ.2024" TargetMode="External"/><Relationship Id="rId154" Type="http://schemas.openxmlformats.org/officeDocument/2006/relationships/hyperlink" Target="https://dblp.org/db/conf/larc/index.html" TargetMode="External"/><Relationship Id="rId58" Type="http://schemas.openxmlformats.org/officeDocument/2006/relationships/hyperlink" Target="https://dblp.org/db/conf/icmi/index.html" TargetMode="External"/><Relationship Id="rId153" Type="http://schemas.openxmlformats.org/officeDocument/2006/relationships/hyperlink" Target="https://dblp.org/db/conf/infovis/index.html" TargetMode="External"/><Relationship Id="rId152" Type="http://schemas.openxmlformats.org/officeDocument/2006/relationships/hyperlink" Target="https://scholar.google.com.br/citations?hl=pt-BR&amp;view_op=list_hcore&amp;venue=vRWGetFmuFkJ.2024" TargetMode="External"/><Relationship Id="rId151" Type="http://schemas.openxmlformats.org/officeDocument/2006/relationships/hyperlink" Target="https://scholar.google.com.br/citations?hl=pt-BR&amp;view_op=list_hcore&amp;venue=lPvkMWc1mQ8J.2024" TargetMode="External"/><Relationship Id="rId158" Type="http://schemas.openxmlformats.org/officeDocument/2006/relationships/hyperlink" Target="https://sol.sbc.org.br/index.php/sbrlars" TargetMode="External"/><Relationship Id="rId157" Type="http://schemas.openxmlformats.org/officeDocument/2006/relationships/hyperlink" Target="https://scholar.google.com.br/citations?hl=pt-BR&amp;view_op=search_venues&amp;vq=Brazilian+Symposium+on+Games+and+Digital+Entertainment&amp;btnG=" TargetMode="External"/><Relationship Id="rId156" Type="http://schemas.openxmlformats.org/officeDocument/2006/relationships/hyperlink" Target="https://sol.sbc.org.br/index.php/sbcm" TargetMode="External"/><Relationship Id="rId155" Type="http://schemas.openxmlformats.org/officeDocument/2006/relationships/hyperlink" Target="https://scholar.google.com.br/citations?hl=pt-BR&amp;view_op=search_venues&amp;vq=Simp%C3%B3sio+Brasileiro+de+Automa%C3%A7%C3%A3o+Inteligente&amp;btnG=" TargetMode="External"/><Relationship Id="rId107" Type="http://schemas.openxmlformats.org/officeDocument/2006/relationships/hyperlink" Target="https://scholar.google.com.br/citations?hl=pt-BR&amp;view_op=list_hcore&amp;venue=QZ31s4XlF8EJ.2024" TargetMode="External"/><Relationship Id="rId106" Type="http://schemas.openxmlformats.org/officeDocument/2006/relationships/hyperlink" Target="https://dblp.org/db/conf/eccv/index.html" TargetMode="External"/><Relationship Id="rId105" Type="http://schemas.openxmlformats.org/officeDocument/2006/relationships/hyperlink" Target="https://scholar.google.com.br/citations?hl=pt-BR&amp;view_op=list_hcore&amp;venue=cwIh2C-xo8kJ.2024" TargetMode="External"/><Relationship Id="rId104" Type="http://schemas.openxmlformats.org/officeDocument/2006/relationships/hyperlink" Target="https://dblp.org/db/conf/miccai/index.html" TargetMode="External"/><Relationship Id="rId109" Type="http://schemas.openxmlformats.org/officeDocument/2006/relationships/hyperlink" Target="https://scholar.google.com.br/citations?hl=pt-BR&amp;view_op=list_hcore&amp;venue=c5bgEi18VesJ.2024" TargetMode="External"/><Relationship Id="rId108" Type="http://schemas.openxmlformats.org/officeDocument/2006/relationships/hyperlink" Target="https://dblp.org/db/conf/iros/index.html" TargetMode="External"/><Relationship Id="rId103" Type="http://schemas.openxmlformats.org/officeDocument/2006/relationships/hyperlink" Target="https://scholar.google.com.br/citations?hl=pt-BR&amp;view_op=list_hcore&amp;venue=QLpioUFGyGMJ.2024" TargetMode="External"/><Relationship Id="rId102" Type="http://schemas.openxmlformats.org/officeDocument/2006/relationships/hyperlink" Target="https://dblp.org/db/conf/mm/index.html" TargetMode="External"/><Relationship Id="rId101" Type="http://schemas.openxmlformats.org/officeDocument/2006/relationships/hyperlink" Target="https://scholar.google.com.br/citations?hl=pt-BR&amp;view_op=list_hcore&amp;venue=vKMrxyJUpv0J.2024" TargetMode="External"/><Relationship Id="rId100" Type="http://schemas.openxmlformats.org/officeDocument/2006/relationships/hyperlink" Target="https://dblp.org/db/conf/huc/index.html" TargetMode="External"/><Relationship Id="rId129" Type="http://schemas.openxmlformats.org/officeDocument/2006/relationships/hyperlink" Target="https://scholar.google.com.br/citations?hl=en&amp;view_op=list_hcore&amp;venue=68UDAZLIQo8J.2024" TargetMode="External"/><Relationship Id="rId128" Type="http://schemas.openxmlformats.org/officeDocument/2006/relationships/hyperlink" Target="https://dblp.org/db/conf/qomex/index.html" TargetMode="External"/><Relationship Id="rId127" Type="http://schemas.openxmlformats.org/officeDocument/2006/relationships/hyperlink" Target="https://scholar.google.com.br/citations?hl=pt-BR&amp;view_op=list_hcore&amp;venue=bEDbANOodwgJ.2024" TargetMode="External"/><Relationship Id="rId126" Type="http://schemas.openxmlformats.org/officeDocument/2006/relationships/hyperlink" Target="https://dblp.org/db/conf/mmm/index.html" TargetMode="External"/><Relationship Id="rId121" Type="http://schemas.openxmlformats.org/officeDocument/2006/relationships/hyperlink" Target="https://scholar.google.com.br/citations?hl=pt-BR&amp;view_op=list_hcore&amp;venue=D2xvUFgEEJEJ.2024" TargetMode="External"/><Relationship Id="rId120" Type="http://schemas.openxmlformats.org/officeDocument/2006/relationships/hyperlink" Target="https://dblp.org/db/conf/pacificvis/index.html" TargetMode="External"/><Relationship Id="rId125" Type="http://schemas.openxmlformats.org/officeDocument/2006/relationships/hyperlink" Target="https://scholar.google.com.br/citations?hl=pt-BR&amp;view_op=list_hcore&amp;venue=Yk_rZmw8Ul4J.2024" TargetMode="External"/><Relationship Id="rId124" Type="http://schemas.openxmlformats.org/officeDocument/2006/relationships/hyperlink" Target="https://dblp.org/db/conf/iswc/index.html" TargetMode="External"/><Relationship Id="rId123" Type="http://schemas.openxmlformats.org/officeDocument/2006/relationships/hyperlink" Target="https://scholar.google.com.br/citations?hl=pt-BR&amp;view_op=list_hcore&amp;venue=_spLz2dfW1AJ.2024" TargetMode="External"/><Relationship Id="rId122" Type="http://schemas.openxmlformats.org/officeDocument/2006/relationships/hyperlink" Target="https://dblp.org/db/conf/igarss/index.html" TargetMode="External"/><Relationship Id="rId95" Type="http://schemas.openxmlformats.org/officeDocument/2006/relationships/hyperlink" Target="https://scholar.google.com.br/citations?hl=pt-BR&amp;view_op=list_hcore&amp;venue=HHC6AUo36fEJ.2024" TargetMode="External"/><Relationship Id="rId94" Type="http://schemas.openxmlformats.org/officeDocument/2006/relationships/hyperlink" Target="https://dblp.org/db/conf/iccv/index.html" TargetMode="External"/><Relationship Id="rId97" Type="http://schemas.openxmlformats.org/officeDocument/2006/relationships/hyperlink" Target="https://scholar.google.com.br/citations?hl=pt-BR&amp;view_op=list_hcore&amp;venue=5FWz4DClk1YJ.2024" TargetMode="External"/><Relationship Id="rId96" Type="http://schemas.openxmlformats.org/officeDocument/2006/relationships/hyperlink" Target="https://dblp.org/db/conf/icassp/index.html" TargetMode="External"/><Relationship Id="rId99" Type="http://schemas.openxmlformats.org/officeDocument/2006/relationships/hyperlink" Target="https://scholar.google.com.br/citations?hl=pt-BR&amp;view_op=list_hcore&amp;venue=K6EHRjh8bWIJ.2024" TargetMode="External"/><Relationship Id="rId98" Type="http://schemas.openxmlformats.org/officeDocument/2006/relationships/hyperlink" Target="https://dblp.org/db/conf/icra/index.html" TargetMode="External"/><Relationship Id="rId91" Type="http://schemas.openxmlformats.org/officeDocument/2006/relationships/hyperlink" Target="https://scholar.google.com.br/citations?hl=pt-BR&amp;view_op=list_hcore&amp;venue=qJlcVei6YeoJ.2024" TargetMode="External"/><Relationship Id="rId90" Type="http://schemas.openxmlformats.org/officeDocument/2006/relationships/hyperlink" Target="https://dblp.org/db/conf/sca/index.html" TargetMode="External"/><Relationship Id="rId93" Type="http://schemas.openxmlformats.org/officeDocument/2006/relationships/hyperlink" Target="https://scholar.google.com.br/citations?hl=pt-BR&amp;view_op=list_hcore&amp;venue=Umlb1kMURG4J.2024" TargetMode="External"/><Relationship Id="rId92" Type="http://schemas.openxmlformats.org/officeDocument/2006/relationships/hyperlink" Target="https://dblp.org/db/conf/smc/index.html" TargetMode="External"/><Relationship Id="rId118" Type="http://schemas.openxmlformats.org/officeDocument/2006/relationships/hyperlink" Target="https://dblp.org/db/conf/interact/index.html" TargetMode="External"/><Relationship Id="rId117" Type="http://schemas.openxmlformats.org/officeDocument/2006/relationships/hyperlink" Target="https://scholar.google.com.br/citations?hl=pt-BR&amp;view_op=list_hcore&amp;venue=6hYO_ZiWs1YJ.2024" TargetMode="External"/><Relationship Id="rId116" Type="http://schemas.openxmlformats.org/officeDocument/2006/relationships/hyperlink" Target="https://dblp.org/db/conf/icmcs/index.html" TargetMode="External"/><Relationship Id="rId115" Type="http://schemas.openxmlformats.org/officeDocument/2006/relationships/hyperlink" Target="https://scholar.google.com.br/citations?hl=pt-BR&amp;view_op=list_hcore&amp;venue=Nb-CRah8-lcJ.2024" TargetMode="External"/><Relationship Id="rId119" Type="http://schemas.openxmlformats.org/officeDocument/2006/relationships/hyperlink" Target="https://scholar.google.com.br/citations?hl=pt-BR&amp;view_op=list_hcore&amp;venue=eyKsRVMpGxgJ.2024" TargetMode="External"/><Relationship Id="rId110" Type="http://schemas.openxmlformats.org/officeDocument/2006/relationships/hyperlink" Target="https://dblp.org/db/conf/assets/index.html" TargetMode="External"/><Relationship Id="rId114" Type="http://schemas.openxmlformats.org/officeDocument/2006/relationships/hyperlink" Target="https://dblp.org/db/conf/icer/index.html" TargetMode="External"/><Relationship Id="rId113" Type="http://schemas.openxmlformats.org/officeDocument/2006/relationships/hyperlink" Target="https://scholar.google.com.br/citations?hl=pt-BR&amp;view_op=list_hcore&amp;venue=v0xCU4OEvKUJ.2024" TargetMode="External"/><Relationship Id="rId112" Type="http://schemas.openxmlformats.org/officeDocument/2006/relationships/hyperlink" Target="https://dblp.org/db/conf/ah/index.html" TargetMode="External"/><Relationship Id="rId111" Type="http://schemas.openxmlformats.org/officeDocument/2006/relationships/hyperlink" Target="https://scholar.google.com.br/citations?hl=pt-BR&amp;view_op=list_hcore&amp;venue=jtXTIwcBWV8J.2024" TargetMode="External"/></Relationships>
</file>

<file path=xl/worksheets/_rels/sheet24.xml.rels><?xml version="1.0" encoding="UTF-8" standalone="yes"?><Relationships xmlns="http://schemas.openxmlformats.org/package/2006/relationships"><Relationship Id="rId40" Type="http://schemas.openxmlformats.org/officeDocument/2006/relationships/hyperlink" Target="https://dblp.org/db/conf/gala/index.html" TargetMode="External"/><Relationship Id="rId42" Type="http://schemas.openxmlformats.org/officeDocument/2006/relationships/drawing" Target="../drawings/drawing24.xml"/><Relationship Id="rId41" Type="http://schemas.openxmlformats.org/officeDocument/2006/relationships/hyperlink" Target="https://scholar.google.com/scholar?as_q=&amp;as_epq=&amp;as_oq=&amp;as_eq=&amp;as_occt=any&amp;as_sauthors=&amp;as_publication=International+Conference+on+Videogame+Sciences+and+Arts&amp;as_ylo=2020&amp;as_yhi=2024&amp;hl=en&amp;as_sdt=0%2C5" TargetMode="External"/><Relationship Id="rId31" Type="http://schemas.openxmlformats.org/officeDocument/2006/relationships/hyperlink" Target="https://dblp.org/db/conf/vsgames/index.html" TargetMode="External"/><Relationship Id="rId30" Type="http://schemas.openxmlformats.org/officeDocument/2006/relationships/hyperlink" Target="https://scholar.google.com.br/citations?hl=pt-BR&amp;view_op=list_hcore&amp;venue=GW3dXd7lzJ8J.2019" TargetMode="External"/><Relationship Id="rId33" Type="http://schemas.openxmlformats.org/officeDocument/2006/relationships/hyperlink" Target="https://sol.sbc.org.br/index.php/sbgames_estendido/issue/archive" TargetMode="External"/><Relationship Id="rId32" Type="http://schemas.openxmlformats.org/officeDocument/2006/relationships/hyperlink" Target="https://scholar.google.com/citations?hl=en&amp;view_op=search_venues&amp;vq=Anais+Estendidos+do+Simp%C3%B3sio+Brasileiro+de+Jogos+e+Entretenimento+Digital&amp;btnG=" TargetMode="External"/><Relationship Id="rId35" Type="http://schemas.openxmlformats.org/officeDocument/2006/relationships/hyperlink" Target="https://dblp.org/db/conf/icse-gas/index.html" TargetMode="External"/><Relationship Id="rId34" Type="http://schemas.openxmlformats.org/officeDocument/2006/relationships/hyperlink" Target="https://scholar.google.com/scholar?as_q=&amp;as_epq=&amp;as_oq=&amp;as_eq=&amp;as_occt=any&amp;as_sauthors=&amp;as_publication=Games+and+software+engineering&amp;as_ylo=2020&amp;as_yhi=2024&amp;hl=en&amp;as_sdt=0%2C5" TargetMode="External"/><Relationship Id="rId37" Type="http://schemas.openxmlformats.org/officeDocument/2006/relationships/hyperlink" Target="https://dl.acm.org/doi/proceedings/10.1145/3663532" TargetMode="External"/><Relationship Id="rId36" Type="http://schemas.openxmlformats.org/officeDocument/2006/relationships/hyperlink" Target="https://scholar.google.com/scholar?as_q=&amp;as_epq=&amp;as_oq=&amp;as_eq=&amp;as_occt=any&amp;as_sauthors=&amp;as_publication=Foundations+of+Applied+Software+Engineering+for+Games&amp;as_ylo=2020&amp;as_yhi=2024&amp;hl=en&amp;as_sdt=0%2C5" TargetMode="External"/><Relationship Id="rId39" Type="http://schemas.openxmlformats.org/officeDocument/2006/relationships/hyperlink" Target="https://scholar.google.com/citations?hl=en&amp;view_op=search_venues&amp;vq=Games+and+Learning+Alliance+Conference&amp;btnG=" TargetMode="External"/><Relationship Id="rId38" Type="http://schemas.openxmlformats.org/officeDocument/2006/relationships/hyperlink" Target="https://dblp.org/db/conf/fase4games/index.html" TargetMode="External"/><Relationship Id="rId20" Type="http://schemas.openxmlformats.org/officeDocument/2006/relationships/hyperlink" Target="https://dblp.org/db/conf/iwec/index.html" TargetMode="External"/><Relationship Id="rId22" Type="http://schemas.openxmlformats.org/officeDocument/2006/relationships/hyperlink" Target="https://dblp.org/db/conf/sbgames/index.html" TargetMode="External"/><Relationship Id="rId21" Type="http://schemas.openxmlformats.org/officeDocument/2006/relationships/hyperlink" Target="https://scholar.google.com/citations?hl=en&amp;view_op=search_venues&amp;vq=brazilian+symposium+on+games+and+digital+entertainment&amp;btnG=" TargetMode="External"/><Relationship Id="rId24" Type="http://schemas.openxmlformats.org/officeDocument/2006/relationships/hyperlink" Target="https://scholar.google.com.br/citations?hl=pt-BR&amp;view_op=search_venues&amp;vq=computer++animation+and+virtual+worlds&amp;btnG=" TargetMode="External"/><Relationship Id="rId23" Type="http://schemas.openxmlformats.org/officeDocument/2006/relationships/hyperlink" Target="https://sol.sbc.org.br/index.php/sbgames" TargetMode="External"/><Relationship Id="rId26" Type="http://schemas.openxmlformats.org/officeDocument/2006/relationships/hyperlink" Target="https://scholar.google.com.br/citations?hl=pt-BR&amp;view_op=list_hcore&amp;venue=3NcCD_2kgFYJ.2024" TargetMode="External"/><Relationship Id="rId25" Type="http://schemas.openxmlformats.org/officeDocument/2006/relationships/hyperlink" Target="https://dblp.org/db/conf/ca/index.html" TargetMode="External"/><Relationship Id="rId28" Type="http://schemas.openxmlformats.org/officeDocument/2006/relationships/hyperlink" Target="https://scholar.google.com/scholar?as_q=&amp;as_epq=&amp;as_oq=&amp;as_eq=&amp;as_occt=any&amp;as_sauthors=&amp;as_publication=IEEE+Games%2C+Entertainment%2C+Media+Conference&amp;as_ylo=2020&amp;as_yhi=2024&amp;hl=en&amp;as_sdt=0%2C5" TargetMode="External"/><Relationship Id="rId27" Type="http://schemas.openxmlformats.org/officeDocument/2006/relationships/hyperlink" Target="https://dblp.org/db/conf/digra/index.html" TargetMode="External"/><Relationship Id="rId29" Type="http://schemas.openxmlformats.org/officeDocument/2006/relationships/hyperlink" Target="https://dblp.org/db/conf/gamesem/index.html" TargetMode="External"/><Relationship Id="rId11" Type="http://schemas.openxmlformats.org/officeDocument/2006/relationships/hyperlink" Target="https://scholar.google.com.br/citations?hl=pt-BR&amp;view_op=search_venues&amp;vq=Conference+on+Motion%2C+Interaction+and+Games&amp;btnG=" TargetMode="External"/><Relationship Id="rId10" Type="http://schemas.openxmlformats.org/officeDocument/2006/relationships/hyperlink" Target="https://dblp.org/db/conf/aiide/index.html" TargetMode="External"/><Relationship Id="rId13" Type="http://schemas.openxmlformats.org/officeDocument/2006/relationships/hyperlink" Target="https://scholar.google.com.br/citations?hl=pt-BR&amp;view_op=search_venues&amp;vq=International+Conference+on+Serious+Games+and+Applications+for+Health+%28SeGAH%29&amp;btnG=" TargetMode="External"/><Relationship Id="rId12" Type="http://schemas.openxmlformats.org/officeDocument/2006/relationships/hyperlink" Target="https://dblp.org/db/conf/mig/index.html" TargetMode="External"/><Relationship Id="rId15" Type="http://schemas.openxmlformats.org/officeDocument/2006/relationships/hyperlink" Target="https://scholar.google.com.br/citations?hl=pt-BR&amp;view_op=list_hcore&amp;venue=2aIQ9fxzrwkJ.2019" TargetMode="External"/><Relationship Id="rId14" Type="http://schemas.openxmlformats.org/officeDocument/2006/relationships/hyperlink" Target="https://dblp.org/db/conf/segah/index.html" TargetMode="External"/><Relationship Id="rId17" Type="http://schemas.openxmlformats.org/officeDocument/2006/relationships/hyperlink" Target="https://scholar.google.es/citations?hl=en&amp;view_op=search_venues&amp;vq=International+conference+on+interactive+digital+storytelling&amp;btnG=" TargetMode="External"/><Relationship Id="rId16" Type="http://schemas.openxmlformats.org/officeDocument/2006/relationships/hyperlink" Target="https://dblp.org/db/conf/si3d/index.html" TargetMode="External"/><Relationship Id="rId19" Type="http://schemas.openxmlformats.org/officeDocument/2006/relationships/hyperlink" Target="https://scholar.google.com.br/citations?hl=pt-BR&amp;view_op=search_venues&amp;vq=International+Conference+on+Entertainment+Computing&amp;btnG=" TargetMode="External"/><Relationship Id="rId18" Type="http://schemas.openxmlformats.org/officeDocument/2006/relationships/hyperlink" Target="https://dblp.org/db/conf/icids/index.html" TargetMode="External"/><Relationship Id="rId1" Type="http://schemas.openxmlformats.org/officeDocument/2006/relationships/hyperlink" Target="https://scholar.google.com.br/citations?hl=pt-BR&amp;view_op=search_venues&amp;vq=Annual+Symposium+on+Computer-Human+Interaction+in+Play&amp;btnG=" TargetMode="External"/><Relationship Id="rId2" Type="http://schemas.openxmlformats.org/officeDocument/2006/relationships/hyperlink" Target="https://dblp.org/db/conf/chiplay/index.html" TargetMode="External"/><Relationship Id="rId3" Type="http://schemas.openxmlformats.org/officeDocument/2006/relationships/hyperlink" Target="https://scholar.google.com.br/citations?hl=pt-BR&amp;view_op=search_venues&amp;vq=IEEE+Conference+on+Computational+Intelligence+and+Games&amp;btnG=" TargetMode="External"/><Relationship Id="rId4" Type="http://schemas.openxmlformats.org/officeDocument/2006/relationships/hyperlink" Target="https://dblp.org/db/conf/cig/index.html" TargetMode="External"/><Relationship Id="rId9" Type="http://schemas.openxmlformats.org/officeDocument/2006/relationships/hyperlink" Target="https://scholar.google.com.br/citations?hl=pt-BR&amp;view_op=search_venues&amp;vq=artificial+intelligence+and+interactive+digital+entertainment+conference&amp;btnG=" TargetMode="External"/><Relationship Id="rId5" Type="http://schemas.openxmlformats.org/officeDocument/2006/relationships/hyperlink" Target="https://scholar.google.com.br/citations?hl=pt-BR&amp;view_op=search_venues&amp;vq=Foundations+of+digital+games&amp;btnG=" TargetMode="External"/><Relationship Id="rId6" Type="http://schemas.openxmlformats.org/officeDocument/2006/relationships/hyperlink" Target="https://dblp.org/db/conf/fdg/index.html" TargetMode="External"/><Relationship Id="rId7" Type="http://schemas.openxmlformats.org/officeDocument/2006/relationships/hyperlink" Target="https://scholar.google.com.br/citations?hl=pt-BR&amp;view_op=search_venues&amp;vq=Intelligent+virtual+agents&amp;btnG=" TargetMode="External"/><Relationship Id="rId8" Type="http://schemas.openxmlformats.org/officeDocument/2006/relationships/hyperlink" Target="https://dblp.org/db/conf/iva/index.html" TargetMode="External"/></Relationships>
</file>

<file path=xl/worksheets/_rels/sheet25.xml.rels><?xml version="1.0" encoding="UTF-8" standalone="yes"?><Relationships xmlns="http://schemas.openxmlformats.org/package/2006/relationships"><Relationship Id="rId31" Type="http://schemas.openxmlformats.org/officeDocument/2006/relationships/hyperlink" Target="https://dblp.org/db/conf/ssd/index.html" TargetMode="External"/><Relationship Id="rId30" Type="http://schemas.openxmlformats.org/officeDocument/2006/relationships/hyperlink" Target="https://scholar.google.com/scholar?as_q=&amp;as_epq=&amp;as_oq=&amp;as_eq=&amp;as_occt=any&amp;as_sauthors=&amp;as_publication=International+Symposium+on+Spatial+and+Temporal+Databases&amp;as_ylo=2020&amp;as_yhi=2024&amp;hl=pt-BR&amp;as_sdt=0%2C5" TargetMode="External"/><Relationship Id="rId33" Type="http://schemas.openxmlformats.org/officeDocument/2006/relationships/hyperlink" Target="https://dblp.org/db/conf/geoai/index.html" TargetMode="External"/><Relationship Id="rId32" Type="http://schemas.openxmlformats.org/officeDocument/2006/relationships/hyperlink" Target="https://scholar.google.com/scholar?as_q=&amp;as_epq=&amp;as_oq=&amp;as_eq=&amp;as_occt=any&amp;as_sauthors=&amp;as_publication=International+Symposium+on+Platial+Information+Science&amp;as_ylo=2020&amp;as_yhi=2024&amp;hl=pt-BR&amp;as_sdt=0%2C5" TargetMode="External"/><Relationship Id="rId35" Type="http://schemas.openxmlformats.org/officeDocument/2006/relationships/hyperlink" Target="https://dblp.org/db/conf/geosim/index.html" TargetMode="External"/><Relationship Id="rId34" Type="http://schemas.openxmlformats.org/officeDocument/2006/relationships/hyperlink" Target="https://dblp.org/db/conf/bigspatial-ws/index.html" TargetMode="External"/><Relationship Id="rId36" Type="http://schemas.openxmlformats.org/officeDocument/2006/relationships/drawing" Target="../drawings/drawing25.xml"/><Relationship Id="rId20" Type="http://schemas.openxmlformats.org/officeDocument/2006/relationships/hyperlink" Target="https://scholar.google.com.br/scholar?as_q=&amp;as_epq=&amp;as_oq=&amp;as_eq=&amp;as_occt=any&amp;as_sauthors=&amp;as_publication=International+Workshop+on+Location+and+the+Web&amp;as_ylo=&amp;as_yhi=&amp;hl=pt-BR&amp;as_sdt=0%2C5" TargetMode="External"/><Relationship Id="rId22" Type="http://schemas.openxmlformats.org/officeDocument/2006/relationships/hyperlink" Target="https://scholar.google.com.br/scholar?hl=pt-BR&amp;as_sdt=0%2C5&amp;q=source%3A%22Workshop+on+Geographic+Information+Retrieval%22&amp;btnG=" TargetMode="External"/><Relationship Id="rId21" Type="http://schemas.openxmlformats.org/officeDocument/2006/relationships/hyperlink" Target="https://dblp.org/db/conf/locweb/index.html" TargetMode="External"/><Relationship Id="rId24" Type="http://schemas.openxmlformats.org/officeDocument/2006/relationships/hyperlink" Target="https://scholar.google.com.br/scholar?hl=pt-BR&amp;as_sdt=0%2C5&amp;q=source%3A%22SeCoGIS%22&amp;btnG=" TargetMode="External"/><Relationship Id="rId23" Type="http://schemas.openxmlformats.org/officeDocument/2006/relationships/hyperlink" Target="https://dblp.org/db/conf/gir/index.html" TargetMode="External"/><Relationship Id="rId26" Type="http://schemas.openxmlformats.org/officeDocument/2006/relationships/hyperlink" Target="https://dblp.org/db/conf/igarss/index.html" TargetMode="External"/><Relationship Id="rId25" Type="http://schemas.openxmlformats.org/officeDocument/2006/relationships/hyperlink" Target="https://scholar.google.com/scholar?as_q=&amp;as_epq=&amp;as_oq=&amp;as_eq=&amp;as_occt=any&amp;as_sauthors=&amp;as_publication=International+Geoscience+and+Remote+Sensing+Symposium&amp;as_ylo=2020&amp;as_yhi=2024&amp;hl=pt-BR&amp;as_sdt=0%2C5" TargetMode="External"/><Relationship Id="rId28" Type="http://schemas.openxmlformats.org/officeDocument/2006/relationships/hyperlink" Target="https://dblp.org/db/conf/sbbd/index.html" TargetMode="External"/><Relationship Id="rId27" Type="http://schemas.openxmlformats.org/officeDocument/2006/relationships/hyperlink" Target="https://scholar.google.com.br/citations?hl=pt-BR&amp;view_op=list_hcore&amp;venue=ixetonJUY2YJ.2024" TargetMode="External"/><Relationship Id="rId29" Type="http://schemas.openxmlformats.org/officeDocument/2006/relationships/hyperlink" Target="http://sol.sbc.org.br/index.php/sbbd" TargetMode="External"/><Relationship Id="rId11" Type="http://schemas.openxmlformats.org/officeDocument/2006/relationships/hyperlink" Target="https://scholar.google.com.br/citations?hl=pt-BR&amp;view_op=list_hcore&amp;venue=w_KC2fvJJQEJ.2024" TargetMode="External"/><Relationship Id="rId10" Type="http://schemas.openxmlformats.org/officeDocument/2006/relationships/hyperlink" Target="https://scholar.google.com.br/scholar?hl=pt-BR&amp;as_sdt=0%2C5&amp;q=source%3A%22Spatial+Data+Science+Symposium%22&amp;btnG=" TargetMode="External"/><Relationship Id="rId13" Type="http://schemas.openxmlformats.org/officeDocument/2006/relationships/hyperlink" Target="https://scholar.google.com.br/citations?hl=pt-BR&amp;view_op=list_hcore&amp;venue=6RxgACAtCdcJ.2024" TargetMode="External"/><Relationship Id="rId12" Type="http://schemas.openxmlformats.org/officeDocument/2006/relationships/hyperlink" Target="https://dblp.org/db/conf/ssdbm/index.html" TargetMode="External"/><Relationship Id="rId15" Type="http://schemas.openxmlformats.org/officeDocument/2006/relationships/hyperlink" Target="https://scholar.google.com.br/citations?hl=pt-BR&amp;view_op=list_hcore&amp;venue=wB6WaEpFlvgJ.2024" TargetMode="External"/><Relationship Id="rId14" Type="http://schemas.openxmlformats.org/officeDocument/2006/relationships/hyperlink" Target="https://dblp.org/db/conf/eScience/index.html" TargetMode="External"/><Relationship Id="rId17" Type="http://schemas.openxmlformats.org/officeDocument/2006/relationships/hyperlink" Target="https://scholar.google.com/citations?hl=pt-BR&amp;user=t3gdFq0AAAAJ&amp;authuser=1&amp;gmla=AJsN-F6LBnjLXtQd-yh39j9RHYHOIsgXmARp2aXa-w-n6ht-ZspeY_ZLXmlvcUlZnpF9t9Y6VbbdXJCOwtaExL8C7awFyoOie5bAayVQdxS-Ln3RDO9Pie4" TargetMode="External"/><Relationship Id="rId16" Type="http://schemas.openxmlformats.org/officeDocument/2006/relationships/hyperlink" Target="https://dblp.org/db/conf/er/index.html" TargetMode="External"/><Relationship Id="rId19" Type="http://schemas.openxmlformats.org/officeDocument/2006/relationships/hyperlink" Target="https://scholar.google.com.br/scholar?as_q=&amp;as_epq=&amp;as_oq=&amp;as_eq=&amp;as_occt=any&amp;as_sauthors=&amp;as_publication=%22simposio+brasileiro+de+sensoriamento+remoto%22&amp;as_ylo=&amp;as_yhi=&amp;hl=pt-BR&amp;as_sdt=0%2C5" TargetMode="External"/><Relationship Id="rId18" Type="http://schemas.openxmlformats.org/officeDocument/2006/relationships/hyperlink" Target="https://dblp.org/db/conf/geoinfo/index.html" TargetMode="External"/><Relationship Id="rId1" Type="http://schemas.openxmlformats.org/officeDocument/2006/relationships/hyperlink" Target="https://scholar.google.com.br/citations?hl=pt-BR&amp;view_op=list_hcore&amp;venue=OOX3mKRBpYMJ.2024" TargetMode="External"/><Relationship Id="rId2" Type="http://schemas.openxmlformats.org/officeDocument/2006/relationships/hyperlink" Target="https://dblp.org/db/conf/gis/index.html" TargetMode="External"/><Relationship Id="rId3" Type="http://schemas.openxmlformats.org/officeDocument/2006/relationships/hyperlink" Target="https://scholar.google.com.br/citations?hl=pt-BR&amp;view_op=list_hcore&amp;venue=g1IeG8tN8KAJ.2018" TargetMode="External"/><Relationship Id="rId4" Type="http://schemas.openxmlformats.org/officeDocument/2006/relationships/hyperlink" Target="https://dblp.org/db/conf/cosit/index.html" TargetMode="External"/><Relationship Id="rId9" Type="http://schemas.openxmlformats.org/officeDocument/2006/relationships/hyperlink" Target="https://scholar.google.com.br/citations?hl=pt-BR&amp;view_op=list_hcore&amp;venue=jll6j_M0-kEJ.2024" TargetMode="External"/><Relationship Id="rId5" Type="http://schemas.openxmlformats.org/officeDocument/2006/relationships/hyperlink" Target="https://scholar.google.com.br/citations?hl=pt-BR&amp;view_op=list_hcore&amp;venue=_va3nqyJpWMJ.2024" TargetMode="External"/><Relationship Id="rId6" Type="http://schemas.openxmlformats.org/officeDocument/2006/relationships/hyperlink" Target="https://dblp.org/db/conf/giscience/index.html" TargetMode="External"/><Relationship Id="rId7" Type="http://schemas.openxmlformats.org/officeDocument/2006/relationships/hyperlink" Target="https://scholar.google.com.br/citations?hl=pt-BR&amp;view_op=list_hcore&amp;venue=Lw_joq0vfyMJ.2024" TargetMode="External"/><Relationship Id="rId8" Type="http://schemas.openxmlformats.org/officeDocument/2006/relationships/hyperlink" Target="https://dblp.org/db/conf/agile/index.html" TargetMode="External"/></Relationships>
</file>

<file path=xl/worksheets/_rels/sheet26.xml.rels><?xml version="1.0" encoding="UTF-8" standalone="yes"?><Relationships xmlns="http://schemas.openxmlformats.org/package/2006/relationships"><Relationship Id="rId40" Type="http://schemas.openxmlformats.org/officeDocument/2006/relationships/drawing" Target="../drawings/drawing26.xml"/><Relationship Id="rId31" Type="http://schemas.openxmlformats.org/officeDocument/2006/relationships/hyperlink" Target="https://dblp.org/db/conf/bsn/index.html" TargetMode="External"/><Relationship Id="rId30" Type="http://schemas.openxmlformats.org/officeDocument/2006/relationships/hyperlink" Target="https://scholar.google.com.br/citations?hl=en&amp;view_op=list_hcore&amp;venue=L-flmcutX4sJ.2024" TargetMode="External"/><Relationship Id="rId33" Type="http://schemas.openxmlformats.org/officeDocument/2006/relationships/hyperlink" Target="https://sol.sbc.org.br/index.php/sbcas/issue/archive" TargetMode="External"/><Relationship Id="rId32" Type="http://schemas.openxmlformats.org/officeDocument/2006/relationships/hyperlink" Target="https://scholar.google.com/citations?hl=pt-BR&amp;view_op=list_hcore&amp;venue=FToOQu3w6DQJ.2024" TargetMode="External"/><Relationship Id="rId35" Type="http://schemas.openxmlformats.org/officeDocument/2006/relationships/hyperlink" Target="https://dblp.org/db/conf/iwssip/index.html" TargetMode="External"/><Relationship Id="rId34" Type="http://schemas.openxmlformats.org/officeDocument/2006/relationships/hyperlink" Target="https://scholar.google.com/citations?hl=en&amp;view_op=list_hcore&amp;venue=GsvS_jxfxCoJ.2024" TargetMode="External"/><Relationship Id="rId37" Type="http://schemas.openxmlformats.org/officeDocument/2006/relationships/hyperlink" Target="https://dblp.org/db/conf/visapp/index.html" TargetMode="External"/><Relationship Id="rId36" Type="http://schemas.openxmlformats.org/officeDocument/2006/relationships/hyperlink" Target="https://scholar.google.com/citations?hl=en&amp;view_op=list_hcore&amp;venue=ljGmmUmHfUwJ.2024" TargetMode="External"/><Relationship Id="rId39" Type="http://schemas.openxmlformats.org/officeDocument/2006/relationships/hyperlink" Target="https://dblp.org/db/conf/isda/index.html" TargetMode="External"/><Relationship Id="rId38" Type="http://schemas.openxmlformats.org/officeDocument/2006/relationships/hyperlink" Target="https://scholar.google.com/citations?hl=pt-BR&amp;view_op=list_hcore&amp;venue=vtykNI3af7IJ.2024" TargetMode="External"/><Relationship Id="rId20" Type="http://schemas.openxmlformats.org/officeDocument/2006/relationships/hyperlink" Target="https://dblp.org/db/conf/bhi/index.html" TargetMode="External"/><Relationship Id="rId22" Type="http://schemas.openxmlformats.org/officeDocument/2006/relationships/hyperlink" Target="https://dblp.org/db/conf/isbi/index.html" TargetMode="External"/><Relationship Id="rId21" Type="http://schemas.openxmlformats.org/officeDocument/2006/relationships/hyperlink" Target="https://scholar.google.com/citations?hl=en&amp;view_op=list_hcore&amp;venue=BvOzx47YdqIJ.2024" TargetMode="External"/><Relationship Id="rId24" Type="http://schemas.openxmlformats.org/officeDocument/2006/relationships/hyperlink" Target="https://dblp.org/db/conf/mie/index.html" TargetMode="External"/><Relationship Id="rId23" Type="http://schemas.openxmlformats.org/officeDocument/2006/relationships/hyperlink" Target="https://scholar.google.com.br/citations?hl=en&amp;view_op=list_hcore&amp;venue=dZLYXaFx_-EJ.2024" TargetMode="External"/><Relationship Id="rId26" Type="http://schemas.openxmlformats.org/officeDocument/2006/relationships/hyperlink" Target="https://dblp.org/db/conf/biostec/healthinf2023.html" TargetMode="External"/><Relationship Id="rId25" Type="http://schemas.openxmlformats.org/officeDocument/2006/relationships/hyperlink" Target="https://scholar.google.com/citations?hl=pt-BR&amp;view_op=list_hcore&amp;venue=kQsANTx_InUJ.2024" TargetMode="External"/><Relationship Id="rId28" Type="http://schemas.openxmlformats.org/officeDocument/2006/relationships/hyperlink" Target="https://dblp.org/db/conf/aime/index.html" TargetMode="External"/><Relationship Id="rId27" Type="http://schemas.openxmlformats.org/officeDocument/2006/relationships/hyperlink" Target="https://scholar.google.com.br/citations?hl=en&amp;view_op=list_hcore&amp;venue=G4epD5rVtawJ.2024" TargetMode="External"/><Relationship Id="rId29" Type="http://schemas.openxmlformats.org/officeDocument/2006/relationships/hyperlink" Target="https://scholar.google.com/citations?hl=pt-BR&amp;view_op=list_hcore&amp;venue=rw5ieHT7BnMJ.2024" TargetMode="External"/><Relationship Id="rId11" Type="http://schemas.openxmlformats.org/officeDocument/2006/relationships/hyperlink" Target="https://scholar.google.com/citations?hl=en&amp;view_op=list_hcore&amp;venue=A0r8tJR7iaEJ.2024" TargetMode="External"/><Relationship Id="rId10" Type="http://schemas.openxmlformats.org/officeDocument/2006/relationships/hyperlink" Target="https://dblp.org/db/conf/ph/index.html" TargetMode="External"/><Relationship Id="rId13" Type="http://schemas.openxmlformats.org/officeDocument/2006/relationships/hyperlink" Target="https://scholar.google.com/citations?hl=en&amp;view_op=list_hcore&amp;venue=B2gupySN5PsJ.2024" TargetMode="External"/><Relationship Id="rId12" Type="http://schemas.openxmlformats.org/officeDocument/2006/relationships/hyperlink" Target="https://dblp.org/db/conf/bcb/index.html" TargetMode="External"/><Relationship Id="rId15" Type="http://schemas.openxmlformats.org/officeDocument/2006/relationships/hyperlink" Target="https://scholar.google.com/citations?hl=en&amp;view_op=list_hcore&amp;venue=cFvi1RZjX1gJ.2024" TargetMode="External"/><Relationship Id="rId14" Type="http://schemas.openxmlformats.org/officeDocument/2006/relationships/hyperlink" Target="https://dblp.org/db/conf/ichi/index.html" TargetMode="External"/><Relationship Id="rId17" Type="http://schemas.openxmlformats.org/officeDocument/2006/relationships/hyperlink" Target="https://scholar.google.com/citations?hl=en&amp;view_op=list_hcore&amp;venue=uURokrZhh7IJ.2024" TargetMode="External"/><Relationship Id="rId16" Type="http://schemas.openxmlformats.org/officeDocument/2006/relationships/hyperlink" Target="https://dblp.org/db/conf/cbms/index.html" TargetMode="External"/><Relationship Id="rId19" Type="http://schemas.openxmlformats.org/officeDocument/2006/relationships/hyperlink" Target="https://scholar.google.com/citations?hl=en&amp;view_op=list_hcore&amp;venue=BgO65-j_oeEJ.2024" TargetMode="External"/><Relationship Id="rId18" Type="http://schemas.openxmlformats.org/officeDocument/2006/relationships/hyperlink" Target="https://dblp.org/db/conf/healthcom/index.html" TargetMode="External"/><Relationship Id="rId1" Type="http://schemas.openxmlformats.org/officeDocument/2006/relationships/hyperlink" Target="https://scholar.google.com/citations?hl=pt-BR&amp;view_op=list_hcore&amp;venue=QLpioUFGyGMJ.2024" TargetMode="External"/><Relationship Id="rId2" Type="http://schemas.openxmlformats.org/officeDocument/2006/relationships/hyperlink" Target="https://dblp.org/db/conf/miccai/index.html" TargetMode="External"/><Relationship Id="rId3" Type="http://schemas.openxmlformats.org/officeDocument/2006/relationships/hyperlink" Target="https://scholar.google.com/citations?hl=en&amp;view_op=list_hcore&amp;venue=la0gAKbHmIkJ.2024" TargetMode="External"/><Relationship Id="rId4" Type="http://schemas.openxmlformats.org/officeDocument/2006/relationships/hyperlink" Target="https://dblp.org/db/conf/embc/index.html" TargetMode="External"/><Relationship Id="rId9" Type="http://schemas.openxmlformats.org/officeDocument/2006/relationships/hyperlink" Target="https://scholar.google.com.br/citations?hl=en&amp;view_op=list_hcore&amp;venue=e4Ty9mKqcmgJ.2024" TargetMode="External"/><Relationship Id="rId5" Type="http://schemas.openxmlformats.org/officeDocument/2006/relationships/hyperlink" Target="https://scholar.google.com/citations?hl=en&amp;view_op=list_hcore&amp;venue=MtRw20mokCYJ.2024" TargetMode="External"/><Relationship Id="rId6" Type="http://schemas.openxmlformats.org/officeDocument/2006/relationships/hyperlink" Target="https://dblp.org/db/conf/amia/index.html" TargetMode="External"/><Relationship Id="rId7" Type="http://schemas.openxmlformats.org/officeDocument/2006/relationships/hyperlink" Target="https://scholar.google.com.br/citations?hl=en&amp;view_op=list_hcore&amp;venue=dZLYXaFx_-EJ.2024" TargetMode="External"/><Relationship Id="rId8" Type="http://schemas.openxmlformats.org/officeDocument/2006/relationships/hyperlink" Target="https://dblp.org/db/conf/medinfo/index.html" TargetMode="External"/></Relationships>
</file>

<file path=xl/worksheets/_rels/sheet27.xml.rels><?xml version="1.0" encoding="UTF-8" standalone="yes"?><Relationships xmlns="http://schemas.openxmlformats.org/package/2006/relationships"><Relationship Id="rId40" Type="http://schemas.openxmlformats.org/officeDocument/2006/relationships/hyperlink" Target="https://dblp.org/db/conf/educon/" TargetMode="External"/><Relationship Id="rId42" Type="http://schemas.openxmlformats.org/officeDocument/2006/relationships/hyperlink" Target="https://dblp.org/db/conf/icer/" TargetMode="External"/><Relationship Id="rId41" Type="http://schemas.openxmlformats.org/officeDocument/2006/relationships/hyperlink" Target="https://scholar.google.com.br/citations?hl=pt-BR&amp;view_op=list_hcore&amp;venue=v0xCU4OEvKUJ.2024" TargetMode="External"/><Relationship Id="rId44" Type="http://schemas.openxmlformats.org/officeDocument/2006/relationships/hyperlink" Target="https://dblp.org/db/conf/assets/" TargetMode="External"/><Relationship Id="rId43" Type="http://schemas.openxmlformats.org/officeDocument/2006/relationships/hyperlink" Target="https://scholar.google.com.br/citations?hl=pt-BR&amp;view_op=list_hcore&amp;venue=c5bgEi18VesJ.2024" TargetMode="External"/><Relationship Id="rId46" Type="http://schemas.openxmlformats.org/officeDocument/2006/relationships/hyperlink" Target="https://dblp.org/db/conf/ah/" TargetMode="External"/><Relationship Id="rId45" Type="http://schemas.openxmlformats.org/officeDocument/2006/relationships/hyperlink" Target="https://scholar.google.com.br/citations?hl=pt-BR&amp;view_op=list_hcore&amp;venue=jtXTIwcBWV8J.2024" TargetMode="External"/><Relationship Id="rId48" Type="http://schemas.openxmlformats.org/officeDocument/2006/relationships/hyperlink" Target="https://dblp.org/db/conf/csee/" TargetMode="External"/><Relationship Id="rId47" Type="http://schemas.openxmlformats.org/officeDocument/2006/relationships/hyperlink" Target="https://scholar.google.com.br/citations?hl=pt-BR&amp;view_op=list_hcore&amp;venue=yIZ19I9U66oJ.2024" TargetMode="External"/><Relationship Id="rId49" Type="http://schemas.openxmlformats.org/officeDocument/2006/relationships/hyperlink" Target="https://scholar.google.com.br/citations?hl=en&amp;view_op=list_hcore&amp;venue=Lew4MSOMhc8J.2024" TargetMode="External"/><Relationship Id="rId31" Type="http://schemas.openxmlformats.org/officeDocument/2006/relationships/hyperlink" Target="https://dblp.org/db/conf/icetc/index.html" TargetMode="External"/><Relationship Id="rId30" Type="http://schemas.openxmlformats.org/officeDocument/2006/relationships/hyperlink" Target="https://scholar.google.com.br/citations?hl=en&amp;view_op=list_hcore&amp;venue=5Vf5Ge4rO1cJ.2024" TargetMode="External"/><Relationship Id="rId33" Type="http://schemas.openxmlformats.org/officeDocument/2006/relationships/hyperlink" Target="https://dblp.org/db/conf/icemt/index.html" TargetMode="External"/><Relationship Id="rId32" Type="http://schemas.openxmlformats.org/officeDocument/2006/relationships/hyperlink" Target="https://scholar.google.com.br/citations?hl=en&amp;view_op=list_hcore&amp;venue=VbcOlb-pUfEJ.2024" TargetMode="External"/><Relationship Id="rId35" Type="http://schemas.openxmlformats.org/officeDocument/2006/relationships/hyperlink" Target="https://scholar.google.com.br/citations?hl=pt-BR&amp;view_op=list_hcore&amp;venue=rrlriATuz7wJ.2024" TargetMode="External"/><Relationship Id="rId34" Type="http://schemas.openxmlformats.org/officeDocument/2006/relationships/hyperlink" Target="https://scholar.google.com/citations?hl=pt-BR&amp;view_op=list_hcore&amp;venue=dxqVLUIU2J4J.2024" TargetMode="External"/><Relationship Id="rId37" Type="http://schemas.openxmlformats.org/officeDocument/2006/relationships/hyperlink" Target="https://scholar.google.com.br/citations?hl=pt-BR&amp;view_op=list_hcore&amp;venue=68UDAZLIQo8J.2024" TargetMode="External"/><Relationship Id="rId36" Type="http://schemas.openxmlformats.org/officeDocument/2006/relationships/hyperlink" Target="https://dblp.org/db/conf/sigcse/" TargetMode="External"/><Relationship Id="rId39" Type="http://schemas.openxmlformats.org/officeDocument/2006/relationships/hyperlink" Target="https://scholar.google.com.br/citations?hl=pt-BR&amp;view_op=list_hcore&amp;venue=oWx0DwbR58MJ.2024" TargetMode="External"/><Relationship Id="rId38" Type="http://schemas.openxmlformats.org/officeDocument/2006/relationships/hyperlink" Target="https://dblp.org/db/conf/iticse/" TargetMode="External"/><Relationship Id="rId20" Type="http://schemas.openxmlformats.org/officeDocument/2006/relationships/hyperlink" Target="https://dblp.org/db/conf/lats/index.html" TargetMode="External"/><Relationship Id="rId22" Type="http://schemas.openxmlformats.org/officeDocument/2006/relationships/hyperlink" Target="https://dblp.org/db/conf/its/index.html" TargetMode="External"/><Relationship Id="rId21" Type="http://schemas.openxmlformats.org/officeDocument/2006/relationships/hyperlink" Target="https://scholar.google.com.br/citations?hl=pt-BR&amp;view_op=list_hcore&amp;venue=pjzAYQWqW2kJ.2024" TargetMode="External"/><Relationship Id="rId24" Type="http://schemas.openxmlformats.org/officeDocument/2006/relationships/hyperlink" Target="https://scholar.google.com.br/citations?hl=pt-BR&amp;view_op=list_hcore&amp;venue=NTcX_smN7XYJ.2024" TargetMode="External"/><Relationship Id="rId23" Type="http://schemas.openxmlformats.org/officeDocument/2006/relationships/hyperlink" Target="https://scholar.google.com.br/citations?hl=pt-BR&amp;view_op=list_hcore&amp;venue=TnYb4fX9_04J.2024" TargetMode="External"/><Relationship Id="rId26" Type="http://schemas.openxmlformats.org/officeDocument/2006/relationships/hyperlink" Target="https://scholar.google.com.br/citations?hl=pt-BR&amp;view_op=list_hcore&amp;venue=kofmhJ_qfCQJ.2024" TargetMode="External"/><Relationship Id="rId25" Type="http://schemas.openxmlformats.org/officeDocument/2006/relationships/hyperlink" Target="https://scholar.google.com.br/citations?hl=pt-BR&amp;view_op=list_hcore&amp;venue=2OO-Lg-JdkcJ.2024" TargetMode="External"/><Relationship Id="rId28" Type="http://schemas.openxmlformats.org/officeDocument/2006/relationships/hyperlink" Target="https://scholar.google.com.br/citations?hl=pt-BR&amp;view_op=list_hcore&amp;venue=-QLNBBFyi_AJ.2024" TargetMode="External"/><Relationship Id="rId27" Type="http://schemas.openxmlformats.org/officeDocument/2006/relationships/hyperlink" Target="https://scholar.google.com.br/citations?hl=en&amp;view_op=list_hcore&amp;venue=jdJM2nPZiO8J.2024" TargetMode="External"/><Relationship Id="rId29" Type="http://schemas.openxmlformats.org/officeDocument/2006/relationships/hyperlink" Target="https://dblp.org/db/conf/cscl/index.html" TargetMode="External"/><Relationship Id="rId11" Type="http://schemas.openxmlformats.org/officeDocument/2006/relationships/hyperlink" Target="https://scholar.google.com.br/citations?hl=pt-BR&amp;view_op=list_hcore&amp;venue=G1RhimMOm2wJ.2024" TargetMode="External"/><Relationship Id="rId10" Type="http://schemas.openxmlformats.org/officeDocument/2006/relationships/hyperlink" Target="https://dblp.org/db/conf/aied/index.html" TargetMode="External"/><Relationship Id="rId13" Type="http://schemas.openxmlformats.org/officeDocument/2006/relationships/hyperlink" Target="https://scholar.google.com.br/citations?hl=pt-BR&amp;view_op=list_hcore&amp;venue=-QH-Ge-vaUsJ.2024" TargetMode="External"/><Relationship Id="rId12" Type="http://schemas.openxmlformats.org/officeDocument/2006/relationships/hyperlink" Target="https://dblp.org/db/conf/fie/index.html" TargetMode="External"/><Relationship Id="rId15" Type="http://schemas.openxmlformats.org/officeDocument/2006/relationships/hyperlink" Target="https://scholar.google.com.br/citations?hl=pt-BR&amp;view_op=list_hcore&amp;venue=nzz9FASca4MJ.2024" TargetMode="External"/><Relationship Id="rId14" Type="http://schemas.openxmlformats.org/officeDocument/2006/relationships/hyperlink" Target="https://dblp.org/db/conf/icalt/index.html" TargetMode="External"/><Relationship Id="rId17" Type="http://schemas.openxmlformats.org/officeDocument/2006/relationships/hyperlink" Target="https://scholar.google.com.br/citations?hl=pt-BR&amp;view_op=list_hcore&amp;venue=_1QDFIU09Q8J.2024" TargetMode="External"/><Relationship Id="rId16" Type="http://schemas.openxmlformats.org/officeDocument/2006/relationships/hyperlink" Target="https://dblp.org/db/conf/csedu/index.html" TargetMode="External"/><Relationship Id="rId19" Type="http://schemas.openxmlformats.org/officeDocument/2006/relationships/hyperlink" Target="https://scholar.google.com.br/citations?hl=pt-BR&amp;view_op=list_hcore&amp;venue=36ZL-wFvppYJ.2024" TargetMode="External"/><Relationship Id="rId18" Type="http://schemas.openxmlformats.org/officeDocument/2006/relationships/hyperlink" Target="https://dblp.org/db/conf/ectel/index.html" TargetMode="External"/><Relationship Id="rId1" Type="http://schemas.openxmlformats.org/officeDocument/2006/relationships/hyperlink" Target="https://scholar.google.com.br/citations?hl=pt-BR&amp;view_op=search_venues&amp;vq=Simp%C3%B3sio+Brasileiro+de+Inform%C3%A1tica+na+Educa%C3%A7%C3%A3o&amp;btnG=" TargetMode="External"/><Relationship Id="rId2" Type="http://schemas.openxmlformats.org/officeDocument/2006/relationships/hyperlink" Target="https://sol.sbc.org.br/index.php/sbie/issue/archive" TargetMode="External"/><Relationship Id="rId3" Type="http://schemas.openxmlformats.org/officeDocument/2006/relationships/hyperlink" Target="https://scholar.google.com.br/citations?hl=pt-BR&amp;view_op=list_hcore&amp;venue=oRft04FzXroJ.2024" TargetMode="External"/><Relationship Id="rId4" Type="http://schemas.openxmlformats.org/officeDocument/2006/relationships/hyperlink" Target="https://sol.sbc.org.br/index.php/wie/issue/archive" TargetMode="External"/><Relationship Id="rId9" Type="http://schemas.openxmlformats.org/officeDocument/2006/relationships/hyperlink" Target="https://scholar.google.com.br/citations?hl=pt-BR&amp;view_op=list_hcore&amp;venue=l2Fh9zgyJ3sJ.2024" TargetMode="External"/><Relationship Id="rId5" Type="http://schemas.openxmlformats.org/officeDocument/2006/relationships/hyperlink" Target="https://scholar.google.com.br/citations?hl=pt-BR&amp;view_op=list_hcore&amp;venue=vyPePYGDYIkJ.2024" TargetMode="External"/><Relationship Id="rId6" Type="http://schemas.openxmlformats.org/officeDocument/2006/relationships/hyperlink" Target="https://dblp.org/db/conf/lak/index.html" TargetMode="External"/><Relationship Id="rId7" Type="http://schemas.openxmlformats.org/officeDocument/2006/relationships/hyperlink" Target="https://scholar.google.com.br/citations?hl=pt-BR&amp;view_op=list_hcore&amp;venue=omHmP0TWqbUJ.2024" TargetMode="External"/><Relationship Id="rId8" Type="http://schemas.openxmlformats.org/officeDocument/2006/relationships/hyperlink" Target="https://dblp.org/db/conf/edm/index.html" TargetMode="External"/><Relationship Id="rId62" Type="http://schemas.openxmlformats.org/officeDocument/2006/relationships/hyperlink" Target="https://dblp.org/db/conf/t4e/index.html" TargetMode="External"/><Relationship Id="rId61" Type="http://schemas.openxmlformats.org/officeDocument/2006/relationships/hyperlink" Target="https://dblp.org/db/conf/icsle/" TargetMode="External"/><Relationship Id="rId63" Type="http://schemas.openxmlformats.org/officeDocument/2006/relationships/drawing" Target="../drawings/drawing27.xml"/><Relationship Id="rId60" Type="http://schemas.openxmlformats.org/officeDocument/2006/relationships/hyperlink" Target="https://sol.sbc.org.br/index.php/educomp/issue/archive" TargetMode="External"/><Relationship Id="rId51" Type="http://schemas.openxmlformats.org/officeDocument/2006/relationships/hyperlink" Target="https://scholar.google.com.br/citations?hl=pt-BR&amp;view_op=list_hcore&amp;venue=9haNtLW85T0J.2024" TargetMode="External"/><Relationship Id="rId50" Type="http://schemas.openxmlformats.org/officeDocument/2006/relationships/hyperlink" Target="https://dblp.org/db/conf/iceit/" TargetMode="External"/><Relationship Id="rId53" Type="http://schemas.openxmlformats.org/officeDocument/2006/relationships/hyperlink" Target="https://dblp.org/db/conf/techedu/" TargetMode="External"/><Relationship Id="rId52" Type="http://schemas.openxmlformats.org/officeDocument/2006/relationships/hyperlink" Target="https://sol.sbc.org.br/index.php/ctrle/issue/archive" TargetMode="External"/><Relationship Id="rId55" Type="http://schemas.openxmlformats.org/officeDocument/2006/relationships/hyperlink" Target="https://dblp.org/db/conf/iadisel/" TargetMode="External"/><Relationship Id="rId54" Type="http://schemas.openxmlformats.org/officeDocument/2006/relationships/hyperlink" Target="https://dblp.org/db/conf/icce/" TargetMode="External"/><Relationship Id="rId57" Type="http://schemas.openxmlformats.org/officeDocument/2006/relationships/hyperlink" Target="https://dblp.org/db/conf/cate/" TargetMode="External"/><Relationship Id="rId56" Type="http://schemas.openxmlformats.org/officeDocument/2006/relationships/hyperlink" Target="https://dblp.org/db/conf/iadiscelda/" TargetMode="External"/><Relationship Id="rId59" Type="http://schemas.openxmlformats.org/officeDocument/2006/relationships/hyperlink" Target="https://scholar.google.com.br/citations?hl=pt-BR&amp;view_op=list_hcore&amp;venue=9d69RZLoOs8J.2024" TargetMode="External"/><Relationship Id="rId58" Type="http://schemas.openxmlformats.org/officeDocument/2006/relationships/hyperlink" Target="https://dblp.org/db/conf/wcce/" TargetMode="External"/></Relationships>
</file>

<file path=xl/worksheets/_rels/sheet28.xml.rels><?xml version="1.0" encoding="UTF-8" standalone="yes"?><Relationships xmlns="http://schemas.openxmlformats.org/package/2006/relationships"><Relationship Id="rId40" Type="http://schemas.openxmlformats.org/officeDocument/2006/relationships/hyperlink" Target="https://scholar.google.com.br/citations?hl=pt-PT&amp;view_op=list_hcore&amp;venue=as1viggupKQJ.2023" TargetMode="External"/><Relationship Id="rId190" Type="http://schemas.openxmlformats.org/officeDocument/2006/relationships/hyperlink" Target="https://scholar.google.com/scholar?q=%22International+Workshop+on+Mining+the+Social+Web%22&amp;hl=pt-BR&amp;as_sdt=0%2C5&amp;as_ylo=&amp;as_yhi=2024" TargetMode="External"/><Relationship Id="rId42" Type="http://schemas.openxmlformats.org/officeDocument/2006/relationships/hyperlink" Target="https://scholar.google.com/scholar?q=source%3AAnais+source%3AEstendidos+source%3Ado+source%3ASimp%C3%B3sio+source%3ABrasileiro+source%3Ade+source%3ASistemas+source%3Ade+source%3AInforma%C3%A7%C3%A3o+&amp;hl=pt-BR&amp;as_sdt=0%2C5&amp;as_ylo=2020&amp;as_yhi=2024" TargetMode="External"/><Relationship Id="rId41" Type="http://schemas.openxmlformats.org/officeDocument/2006/relationships/hyperlink" Target="https://dblp.org/db/conf/eatis/index.html" TargetMode="External"/><Relationship Id="rId44" Type="http://schemas.openxmlformats.org/officeDocument/2006/relationships/hyperlink" Target="https://scholar.google.com.br/citations?hl=pt-PT&amp;view_op=list_hcore&amp;venue=6AbX1YWluE4J.2023" TargetMode="External"/><Relationship Id="rId194" Type="http://schemas.openxmlformats.org/officeDocument/2006/relationships/hyperlink" Target="https://dblp.org/db/conf/sessos/index.html" TargetMode="External"/><Relationship Id="rId43" Type="http://schemas.openxmlformats.org/officeDocument/2006/relationships/hyperlink" Target="https://sol.sbc.org.br/index.php/sbsi_estendido/issue/archive" TargetMode="External"/><Relationship Id="rId193" Type="http://schemas.openxmlformats.org/officeDocument/2006/relationships/hyperlink" Target="https://scholar.google.com.br/scholar?q=source%3AInternational+source%3AWorkshop+source%3Aon+source%3ASoftware+source%3AEngineering+source%3Afor+source%3ASystems-of-Systems+source%3Aand+source%3ASoftware+source%3AEcosystems&amp;hl=pt-BR&amp;as_sdt=0%2C5&amp;as_ylo=2020&amp;as_yhi=2024" TargetMode="External"/><Relationship Id="rId46" Type="http://schemas.openxmlformats.org/officeDocument/2006/relationships/hyperlink" Target="https://scholar.google.com.br/citations?hl=pt-PT&amp;view_op=list_hcore&amp;venue=kXowlNFROIgJ.2023" TargetMode="External"/><Relationship Id="rId192" Type="http://schemas.openxmlformats.org/officeDocument/2006/relationships/hyperlink" Target="https://dblp.org/db/conf/iwseco/index.html" TargetMode="External"/><Relationship Id="rId45" Type="http://schemas.openxmlformats.org/officeDocument/2006/relationships/hyperlink" Target="https://dblp.org/db/conf/wsdm/index.html" TargetMode="External"/><Relationship Id="rId191" Type="http://schemas.openxmlformats.org/officeDocument/2006/relationships/hyperlink" Target="https://scholar.google.com.br/scholar?q=%22International+Workshop+on+Software+Ecosystems%22&amp;hl=pt-BR&amp;as_sdt=0%2C5&amp;as_ylo=2020&amp;as_yhi=2024" TargetMode="External"/><Relationship Id="rId48" Type="http://schemas.openxmlformats.org/officeDocument/2006/relationships/hyperlink" Target="https://scholar.google.com.br/citations?hl=pt-PT&amp;view_op=list_hcore&amp;venue=U4LFuNlM8GMJ.2023" TargetMode="External"/><Relationship Id="rId187" Type="http://schemas.openxmlformats.org/officeDocument/2006/relationships/hyperlink" Target="https://dblp.org/db/conf/middleware/index.html" TargetMode="External"/><Relationship Id="rId47" Type="http://schemas.openxmlformats.org/officeDocument/2006/relationships/hyperlink" Target="https://dblp.org/db/conf/cscw/index.html" TargetMode="External"/><Relationship Id="rId186" Type="http://schemas.openxmlformats.org/officeDocument/2006/relationships/hyperlink" Target="https://scholar.google.com.br/citations?hl=pt-PT&amp;view_op=list_hcore&amp;venue=NA4iP0Rm0toJ.2023" TargetMode="External"/><Relationship Id="rId185" Type="http://schemas.openxmlformats.org/officeDocument/2006/relationships/hyperlink" Target="https://dblp.org/db/conf/ic3k/index.html" TargetMode="External"/><Relationship Id="rId49" Type="http://schemas.openxmlformats.org/officeDocument/2006/relationships/hyperlink" Target="https://dblp.org/db/conf/ht/index.html" TargetMode="External"/><Relationship Id="rId184" Type="http://schemas.openxmlformats.org/officeDocument/2006/relationships/hyperlink" Target="https://scholar.google.com.br/citations?hl=pt-PT&amp;view_op=list_hcore&amp;venue=vt63wi0KkScJ.2023" TargetMode="External"/><Relationship Id="rId189" Type="http://schemas.openxmlformats.org/officeDocument/2006/relationships/hyperlink" Target="https://dblp.org/db/conf/iscis/index.html" TargetMode="External"/><Relationship Id="rId188" Type="http://schemas.openxmlformats.org/officeDocument/2006/relationships/hyperlink" Target="https://scholar.google.com/scholar?q=%22International+Symposium+on+Computer+and+Information+Sciences%22&amp;hl=pt-BR&amp;as_sdt=0%2C5&amp;as_ylo=2020&amp;as_yhi=2024" TargetMode="External"/><Relationship Id="rId31" Type="http://schemas.openxmlformats.org/officeDocument/2006/relationships/hyperlink" Target="https://dblp.org/db/conf/wise/index.html" TargetMode="External"/><Relationship Id="rId30" Type="http://schemas.openxmlformats.org/officeDocument/2006/relationships/hyperlink" Target="https://scholar.google.com.br/citations?hl=pt-PT&amp;view_op=list_hcore&amp;venue=K9DmX5xQU-YJ.2023" TargetMode="External"/><Relationship Id="rId33" Type="http://schemas.openxmlformats.org/officeDocument/2006/relationships/hyperlink" Target="https://dblp.org/db/conf/iiwas/index.html" TargetMode="External"/><Relationship Id="rId183" Type="http://schemas.openxmlformats.org/officeDocument/2006/relationships/hyperlink" Target="https://dblp.org/db/conf/icwe/index.html" TargetMode="External"/><Relationship Id="rId32" Type="http://schemas.openxmlformats.org/officeDocument/2006/relationships/hyperlink" Target="https://scholar.google.com.br/citations?hl=pt-PT&amp;view_op=list_hcore&amp;venue=Tq_VLYZkpzwJ.2023" TargetMode="External"/><Relationship Id="rId182" Type="http://schemas.openxmlformats.org/officeDocument/2006/relationships/hyperlink" Target="https://scholar.google.com.br/citations?hl=pt-PT&amp;view_op=list_hcore&amp;venue=I8L8xmsrq2EJ.2023" TargetMode="External"/><Relationship Id="rId35" Type="http://schemas.openxmlformats.org/officeDocument/2006/relationships/hyperlink" Target="https://dblp.org/db/conf/adbis/index.html" TargetMode="External"/><Relationship Id="rId181" Type="http://schemas.openxmlformats.org/officeDocument/2006/relationships/hyperlink" Target="https://dblp.org/db/conf/icwsm/index.html" TargetMode="External"/><Relationship Id="rId34" Type="http://schemas.openxmlformats.org/officeDocument/2006/relationships/hyperlink" Target="https://scholar.google.com.br/citations?hl=pt-BR&amp;view_op=list_hcore&amp;venue=pEYfHFCSslcJ.2018" TargetMode="External"/><Relationship Id="rId180" Type="http://schemas.openxmlformats.org/officeDocument/2006/relationships/hyperlink" Target="https://scholar.google.com.br/citations?hl=pt-PT&amp;view_op=list_hcore&amp;venue=eH4qSzdbVtwJ.2023" TargetMode="External"/><Relationship Id="rId37" Type="http://schemas.openxmlformats.org/officeDocument/2006/relationships/hyperlink" Target="https://dblp.org/db/conf/webist/index.html" TargetMode="External"/><Relationship Id="rId176" Type="http://schemas.openxmlformats.org/officeDocument/2006/relationships/hyperlink" Target="https://scholar.google.com.br/citations?hl=pt-PT&amp;view_op=list_hcore&amp;venue=CvhnNEBhA8sJ.2023" TargetMode="External"/><Relationship Id="rId36" Type="http://schemas.openxmlformats.org/officeDocument/2006/relationships/hyperlink" Target="https://scholar.google.com.br/citations?hl=pt-PT&amp;view_op=list_hcore&amp;venue=0oQi0-PzQ8sJ.2023" TargetMode="External"/><Relationship Id="rId175" Type="http://schemas.openxmlformats.org/officeDocument/2006/relationships/hyperlink" Target="https://dblp.org/db/conf/propor/index.html" TargetMode="External"/><Relationship Id="rId39" Type="http://schemas.openxmlformats.org/officeDocument/2006/relationships/hyperlink" Target="https://dblp.org/db/conf/itng/index.html" TargetMode="External"/><Relationship Id="rId174" Type="http://schemas.openxmlformats.org/officeDocument/2006/relationships/hyperlink" Target="https://scholar.google.com/scholar?hl=pt-BR&amp;as_sdt=0%2C5&amp;as_ylo=2020&amp;as_yhi=2024&amp;q=%22International+Conference+on+the+Computational+Processing+of+Portuguese%22&amp;btnG=" TargetMode="External"/><Relationship Id="rId38" Type="http://schemas.openxmlformats.org/officeDocument/2006/relationships/hyperlink" Target="https://scholar.google.com.br/citations?hl=pt-PT&amp;view_op=list_hcore&amp;venue=n4KqZc83JT0J.2023" TargetMode="External"/><Relationship Id="rId173" Type="http://schemas.openxmlformats.org/officeDocument/2006/relationships/hyperlink" Target="https://dblp.org/db/conf/icsob/index.html" TargetMode="External"/><Relationship Id="rId179" Type="http://schemas.openxmlformats.org/officeDocument/2006/relationships/hyperlink" Target="https://dblp.org/db/conf/um/index.html" TargetMode="External"/><Relationship Id="rId178" Type="http://schemas.openxmlformats.org/officeDocument/2006/relationships/hyperlink" Target="https://scholar.google.com.br/citations?hl=pt-PT&amp;view_op=list_hcore&amp;venue=jtXTIwcBWV8J.2023" TargetMode="External"/><Relationship Id="rId177" Type="http://schemas.openxmlformats.org/officeDocument/2006/relationships/hyperlink" Target="https://dblp.org/db/conf/icegov/index.html" TargetMode="External"/><Relationship Id="rId20" Type="http://schemas.openxmlformats.org/officeDocument/2006/relationships/hyperlink" Target="https://scholar.google.com/scholar?q=Workshop+sobre+Aspectos+Sociais%2C+Humanos+e+Econ%C3%B4micos+de+Software&amp;hl=pt-BR&amp;as_sdt=0%2C5&amp;as_ylo=2020&amp;as_yhi=2024" TargetMode="External"/><Relationship Id="rId22" Type="http://schemas.openxmlformats.org/officeDocument/2006/relationships/hyperlink" Target="https://scholar.google.com.br/citations?hl=pt-PT&amp;view_op=list_hcore&amp;venue=qJlcVei6YeoJ.2023" TargetMode="External"/><Relationship Id="rId21" Type="http://schemas.openxmlformats.org/officeDocument/2006/relationships/hyperlink" Target="https://sol.sbc.org.br/index.php/washes/issue/archive" TargetMode="External"/><Relationship Id="rId24" Type="http://schemas.openxmlformats.org/officeDocument/2006/relationships/hyperlink" Target="https://scholar.google.com.br/citations?hl=pt-PT&amp;view_op=list_hcore&amp;venue=109OuuD55eYJ.2023" TargetMode="External"/><Relationship Id="rId23" Type="http://schemas.openxmlformats.org/officeDocument/2006/relationships/hyperlink" Target="https://dblp.org/db/conf/smc/index.html" TargetMode="External"/><Relationship Id="rId26" Type="http://schemas.openxmlformats.org/officeDocument/2006/relationships/hyperlink" Target="https://scholar.google.com.br/citations?hl=pt-PT&amp;view_op=list_hcore&amp;venue=EBKFsSXXhfYJ.2023" TargetMode="External"/><Relationship Id="rId25" Type="http://schemas.openxmlformats.org/officeDocument/2006/relationships/hyperlink" Target="https://dblp.org/db/conf/dgo/index.html" TargetMode="External"/><Relationship Id="rId28" Type="http://schemas.openxmlformats.org/officeDocument/2006/relationships/hyperlink" Target="https://scholar.google.com.br/citations?hl=pt-PT&amp;view_op=list_hcore&amp;venue=zsGWp1QJr3AJ.2023" TargetMode="External"/><Relationship Id="rId27" Type="http://schemas.openxmlformats.org/officeDocument/2006/relationships/hyperlink" Target="https://dblp.org/db/conf/cbi/index.html" TargetMode="External"/><Relationship Id="rId29" Type="http://schemas.openxmlformats.org/officeDocument/2006/relationships/hyperlink" Target="https://dblp.org/db/conf/iceis/index.html" TargetMode="External"/><Relationship Id="rId11" Type="http://schemas.openxmlformats.org/officeDocument/2006/relationships/hyperlink" Target="https://scholar.google.com.br/citations?hl=pt-PT&amp;view_op=list_hcore&amp;venue=TThVqfDwD3QJ.2024" TargetMode="External"/><Relationship Id="rId10" Type="http://schemas.openxmlformats.org/officeDocument/2006/relationships/hyperlink" Target="https://dblp.org/db/conf/caise/index.html" TargetMode="External"/><Relationship Id="rId13" Type="http://schemas.openxmlformats.org/officeDocument/2006/relationships/hyperlink" Target="https://scholar.google.com.br/citations?hl=pt-BR&amp;view_op=list_hcore&amp;venue=UF-KqO2gwjoJ.2018" TargetMode="External"/><Relationship Id="rId12" Type="http://schemas.openxmlformats.org/officeDocument/2006/relationships/hyperlink" Target="https://dblp.org/db/conf/sysose/index.html" TargetMode="External"/><Relationship Id="rId15" Type="http://schemas.openxmlformats.org/officeDocument/2006/relationships/hyperlink" Target="https://scholar.google.com.br/citations?hl=pt-BR&amp;view_op=list_hcore&amp;venue=Uj60OIiJKkQJ.2024" TargetMode="External"/><Relationship Id="rId198" Type="http://schemas.openxmlformats.org/officeDocument/2006/relationships/hyperlink" Target="https://scholar.google.com.br/citations?hl=pt-PT&amp;view_op=list_hcore&amp;venue=jyopF_8JEZIJ.2024" TargetMode="External"/><Relationship Id="rId14" Type="http://schemas.openxmlformats.org/officeDocument/2006/relationships/hyperlink" Target="https://dblp.org/db/conf/egov/index.html" TargetMode="External"/><Relationship Id="rId197" Type="http://schemas.openxmlformats.org/officeDocument/2006/relationships/hyperlink" Target="https://scholar.google.com/scholar?q=%22Simp%C3%B3sio+Brasileiro+de+Tecnologia+da+Informa%C3%A7%C3%A3o%22&amp;hl=pt-BR&amp;as_sdt=0%2C5&amp;as_ylo=2020&amp;as_yhi=2024" TargetMode="External"/><Relationship Id="rId17" Type="http://schemas.openxmlformats.org/officeDocument/2006/relationships/hyperlink" Target="https://sol.sbc.org.br/index.php/sbsi/issue/archive" TargetMode="External"/><Relationship Id="rId196" Type="http://schemas.openxmlformats.org/officeDocument/2006/relationships/hyperlink" Target="https://dblp.org/db/conf/pacis/index.html" TargetMode="External"/><Relationship Id="rId16" Type="http://schemas.openxmlformats.org/officeDocument/2006/relationships/hyperlink" Target="https://dblp.org/db/conf/sbsi/index.html" TargetMode="External"/><Relationship Id="rId195" Type="http://schemas.openxmlformats.org/officeDocument/2006/relationships/hyperlink" Target="https://scholar.google.com.br/citations?hl=pt-BR&amp;view_op=list_hcore&amp;venue=CY_aqjanJeoJ.2024" TargetMode="External"/><Relationship Id="rId19" Type="http://schemas.openxmlformats.org/officeDocument/2006/relationships/hyperlink" Target="https://sol.sbc.org.br/index.php/brasnam" TargetMode="External"/><Relationship Id="rId18" Type="http://schemas.openxmlformats.org/officeDocument/2006/relationships/hyperlink" Target="https://scholar.google.com.br/citations?hl=pt-PT&amp;view_op=list_hcore&amp;venue=uCHdYLLURp0J.2024" TargetMode="External"/><Relationship Id="rId199" Type="http://schemas.openxmlformats.org/officeDocument/2006/relationships/hyperlink" Target="https://dblp.org/db/conf/ihc/index.html" TargetMode="External"/><Relationship Id="rId84" Type="http://schemas.openxmlformats.org/officeDocument/2006/relationships/hyperlink" Target="https://dblp.org/db/conf/fedcsis/index.html" TargetMode="External"/><Relationship Id="rId83" Type="http://schemas.openxmlformats.org/officeDocument/2006/relationships/hyperlink" Target="https://scholar.google.com.br/citations?hl=pt-BR&amp;view_op=list_hcore&amp;venue=PHUeOJr2y-EJ.2023" TargetMode="External"/><Relationship Id="rId86" Type="http://schemas.openxmlformats.org/officeDocument/2006/relationships/hyperlink" Target="https://dblp.org/db/conf/hicss/index.html" TargetMode="External"/><Relationship Id="rId85" Type="http://schemas.openxmlformats.org/officeDocument/2006/relationships/hyperlink" Target="https://scholar.google.com.br/citations?hl=pt-PT&amp;view_op=list_hcore&amp;venue=6wBd043QhTIJ.2023" TargetMode="External"/><Relationship Id="rId88" Type="http://schemas.openxmlformats.org/officeDocument/2006/relationships/hyperlink" Target="https://scholar.google.com.br/citations?hl=pt-PT&amp;view_op=list_hcore&amp;venue=ioohKoS5imcJ.2023" TargetMode="External"/><Relationship Id="rId150" Type="http://schemas.openxmlformats.org/officeDocument/2006/relationships/hyperlink" Target="https://scholar.google.com/scholar?q=International+Conference+on+Intelligent+Text+Processing+and+Computational+Linguistics&amp;hl=pt-BR&amp;as_sdt=0%2C5&amp;as_ylo=2020&amp;as_yhi=2024" TargetMode="External"/><Relationship Id="rId87" Type="http://schemas.openxmlformats.org/officeDocument/2006/relationships/hyperlink" Target="https://scholar.google.com.br/citations?hl=pt-PT&amp;view_op=list_hcore&amp;venue=8MjqfFw7-w4J.2023" TargetMode="External"/><Relationship Id="rId89" Type="http://schemas.openxmlformats.org/officeDocument/2006/relationships/hyperlink" Target="https://dblp.org/db/conf/IEEEcloud/index.html" TargetMode="External"/><Relationship Id="rId80" Type="http://schemas.openxmlformats.org/officeDocument/2006/relationships/hyperlink" Target="https://dblp.org/db/conf/edoc/index.html" TargetMode="External"/><Relationship Id="rId82" Type="http://schemas.openxmlformats.org/officeDocument/2006/relationships/hyperlink" Target="https://dblp.org/db/conf/emcis/index.html" TargetMode="External"/><Relationship Id="rId81" Type="http://schemas.openxmlformats.org/officeDocument/2006/relationships/hyperlink" Target="https://scholar.google.com.br/citations?hl=pt-PT&amp;view_op=list_hcore&amp;venue=QD5idH6caNAJ.2023" TargetMode="External"/><Relationship Id="rId1" Type="http://schemas.openxmlformats.org/officeDocument/2006/relationships/hyperlink" Target="https://scholar.google.com.br/citations?hl=pt-PT&amp;view_op=list_hcore&amp;venue=dF8xpB0_PnwJ.2024" TargetMode="External"/><Relationship Id="rId2" Type="http://schemas.openxmlformats.org/officeDocument/2006/relationships/hyperlink" Target="https://dblp.org/db/conf/ecis/index.html" TargetMode="External"/><Relationship Id="rId3" Type="http://schemas.openxmlformats.org/officeDocument/2006/relationships/hyperlink" Target="https://scholar.google.com.br/citations?hl=pt-PT&amp;view_op=list_hcore&amp;venue=hL4tvEz50McJ.2024" TargetMode="External"/><Relationship Id="rId149" Type="http://schemas.openxmlformats.org/officeDocument/2006/relationships/hyperlink" Target="https://scholar.google.com/scholar?q=International+Conference+on+Innovative+Computing+Technology&amp;hl=pt-BR&amp;as_sdt=0%2C5&amp;as_ylo=2020&amp;as_yhi=2024" TargetMode="External"/><Relationship Id="rId4" Type="http://schemas.openxmlformats.org/officeDocument/2006/relationships/hyperlink" Target="https://dblp.org/db/conf/icis/index.html" TargetMode="External"/><Relationship Id="rId148" Type="http://schemas.openxmlformats.org/officeDocument/2006/relationships/hyperlink" Target="https://scholar.google.com.br/citations?hl=pt-PT&amp;view_op=list_hcore&amp;venue=DX1aBBbAiv8J.2024" TargetMode="External"/><Relationship Id="rId9" Type="http://schemas.openxmlformats.org/officeDocument/2006/relationships/hyperlink" Target="https://scholar.google.com.br/citations?hl=pt-PT&amp;view_op=list_hcore&amp;venue=5PSS5xHm_KwJ.2024" TargetMode="External"/><Relationship Id="rId143" Type="http://schemas.openxmlformats.org/officeDocument/2006/relationships/hyperlink" Target="https://scholar.google.com/scholar?hl=pt-BR&amp;as_sdt=0%2C5&amp;as_ylo=2020&amp;as_yhi=2024&amp;q=%22International+Conference+on+Information+Systems+and+Technology+Management%22&amp;btnG=" TargetMode="External"/><Relationship Id="rId142" Type="http://schemas.openxmlformats.org/officeDocument/2006/relationships/hyperlink" Target="https://scholar.google.com.br/citations?hl=pt-PT&amp;view_op=list_hcore&amp;venue=E623cbW5qKIJ.2023" TargetMode="External"/><Relationship Id="rId141" Type="http://schemas.openxmlformats.org/officeDocument/2006/relationships/hyperlink" Target="https://dblp.org/db/conf/ipmu/index.html" TargetMode="External"/><Relationship Id="rId140" Type="http://schemas.openxmlformats.org/officeDocument/2006/relationships/hyperlink" Target="https://scholar.google.com.br/citations?hl=pt-PT&amp;view_op=list_hcore&amp;venue=DxTMQsOcxf0J.2023" TargetMode="External"/><Relationship Id="rId5" Type="http://schemas.openxmlformats.org/officeDocument/2006/relationships/hyperlink" Target="https://scholar.google.com.br/citations?hl=pt-PT&amp;view_op=list_hcore&amp;venue=Z7jeczV8wooJ.2024" TargetMode="External"/><Relationship Id="rId147" Type="http://schemas.openxmlformats.org/officeDocument/2006/relationships/hyperlink" Target="https://dblp.org/db/conf/icit/index.html" TargetMode="External"/><Relationship Id="rId6" Type="http://schemas.openxmlformats.org/officeDocument/2006/relationships/hyperlink" Target="https://dblp.org/db/conf/amcis/index.html" TargetMode="External"/><Relationship Id="rId146" Type="http://schemas.openxmlformats.org/officeDocument/2006/relationships/hyperlink" Target="https://scholar.google.com.br/citations?hl=pt-PT&amp;view_op=list_hcore&amp;venue=LumpKNGPVQMJ.2023" TargetMode="External"/><Relationship Id="rId7" Type="http://schemas.openxmlformats.org/officeDocument/2006/relationships/hyperlink" Target="https://scholar.google.com.br/citations?hl=pt-BR&amp;view_op=list_hcore&amp;venue=0N6unYCR7HoJ.2018" TargetMode="External"/><Relationship Id="rId145" Type="http://schemas.openxmlformats.org/officeDocument/2006/relationships/hyperlink" Target="https://dblp.org/db/conf/isdevel/index.html" TargetMode="External"/><Relationship Id="rId8" Type="http://schemas.openxmlformats.org/officeDocument/2006/relationships/hyperlink" Target="https://dblp.org/db/conf/bpm/index.html" TargetMode="External"/><Relationship Id="rId144" Type="http://schemas.openxmlformats.org/officeDocument/2006/relationships/hyperlink" Target="https://scholar.google.com.br/citations?hl=pt-PT&amp;view_op=list_hcore&amp;venue=IXwBVJe3Y30J.2024" TargetMode="External"/><Relationship Id="rId73" Type="http://schemas.openxmlformats.org/officeDocument/2006/relationships/hyperlink" Target="https://scholar.google.com.br/scholar?q=%22Congresso+Brasileiro+de+Sistemas%22&amp;hl=pt-BR&amp;as_sdt=0%2C5&amp;as_ylo=2020&amp;as_yhi=2024" TargetMode="External"/><Relationship Id="rId72" Type="http://schemas.openxmlformats.org/officeDocument/2006/relationships/hyperlink" Target="https://dblp.org/db/conf/clei/index.html" TargetMode="External"/><Relationship Id="rId75" Type="http://schemas.openxmlformats.org/officeDocument/2006/relationships/hyperlink" Target="https://dblp.org/db/conf/dh/index.html" TargetMode="External"/><Relationship Id="rId74" Type="http://schemas.openxmlformats.org/officeDocument/2006/relationships/hyperlink" Target="https://scholar.google.com.br/scholar?q=source%3ADigital+source%3AHeritage&amp;hl=pt-BR&amp;as_sdt=0%2C5&amp;as_ylo=2020&amp;as_yhi=2024" TargetMode="External"/><Relationship Id="rId77" Type="http://schemas.openxmlformats.org/officeDocument/2006/relationships/hyperlink" Target="https://dblp.org/db/conf/egovis/index.html" TargetMode="External"/><Relationship Id="rId76" Type="http://schemas.openxmlformats.org/officeDocument/2006/relationships/hyperlink" Target="https://scholar.google.com/scholar?q=%22Electronic+Government+and+the+Information+Systems+Perspective%22&amp;hl=pt-BR&amp;as_sdt=0,5&amp;as_ylo=2020&amp;as_yhi=2024" TargetMode="External"/><Relationship Id="rId79" Type="http://schemas.openxmlformats.org/officeDocument/2006/relationships/hyperlink" Target="https://scholar.google.com.br/citations?hl=pt-PT&amp;view_op=list_hcore&amp;venue=HYNXXKncPYAJ.2024" TargetMode="External"/><Relationship Id="rId78" Type="http://schemas.openxmlformats.org/officeDocument/2006/relationships/hyperlink" Target="https://scholar.google.com.br/scholar?q=source%3AEncontro+source%3Ada+source%3AAssocia%C3%A7%C3%A3o+source%3ANacional+source%3Ade+source%3AP%C3%B3s-Gradua%C3%A7%C3%A3o+source%3Ae+source%3APesquisa+source%3Aem+source%3AAdministra%C3%A7%C3%A3o&amp;hl=pt-BR&amp;as_sdt=0%2C5&amp;as_ylo=2020&amp;as_yhi=2024" TargetMode="External"/><Relationship Id="rId71" Type="http://schemas.openxmlformats.org/officeDocument/2006/relationships/hyperlink" Target="https://scholar.google.com.br/citations?hl=pt-PT&amp;view_op=list_hcore&amp;venue=ThEGj_a76ZUJ.2023" TargetMode="External"/><Relationship Id="rId70" Type="http://schemas.openxmlformats.org/officeDocument/2006/relationships/hyperlink" Target="https://dblp.org/db/conf/hcomp/index.html" TargetMode="External"/><Relationship Id="rId139" Type="http://schemas.openxmlformats.org/officeDocument/2006/relationships/hyperlink" Target="https://scholar.google.com.br/citations?hl=pt-PT&amp;view_op=list_hcore&amp;venue=kHVE9lQrYc8J.2023" TargetMode="External"/><Relationship Id="rId138" Type="http://schemas.openxmlformats.org/officeDocument/2006/relationships/hyperlink" Target="https://scholar.google.com.br/citations?hl=pt-PT&amp;view_op=list_hcore&amp;venue=MK4W6BWjMjYJ.2023" TargetMode="External"/><Relationship Id="rId137" Type="http://schemas.openxmlformats.org/officeDocument/2006/relationships/hyperlink" Target="https://dblp.org/db/conf/icdim/index.html" TargetMode="External"/><Relationship Id="rId132" Type="http://schemas.openxmlformats.org/officeDocument/2006/relationships/hyperlink" Target="https://scholar.google.com/scholar?q=%22International+Conference+on+Cooperative+Information+Systems%22&amp;hl=pt-BR&amp;as_sdt=0%2C5&amp;as_ylo=2020&amp;as_yhi=2024" TargetMode="External"/><Relationship Id="rId131" Type="http://schemas.openxmlformats.org/officeDocument/2006/relationships/hyperlink" Target="https://dblp.org/db/conf/er/index.html" TargetMode="External"/><Relationship Id="rId130" Type="http://schemas.openxmlformats.org/officeDocument/2006/relationships/hyperlink" Target="https://scholar.google.com.br/citations?hl=pt-PT&amp;view_op=list_hcore&amp;venue=wB6WaEpFlvgJ.2024" TargetMode="External"/><Relationship Id="rId136" Type="http://schemas.openxmlformats.org/officeDocument/2006/relationships/hyperlink" Target="https://scholar.google.com.br/scholar?q=International+Conference+on+Digital+Information+Management&amp;hl=pt-BR&amp;as_sdt=0%2C5&amp;as_vis=1&amp;as_ylo=2020&amp;as_yhi=2024" TargetMode="External"/><Relationship Id="rId135" Type="http://schemas.openxmlformats.org/officeDocument/2006/relationships/hyperlink" Target="https://dblp.org/db/conf/data/index.html" TargetMode="External"/><Relationship Id="rId134" Type="http://schemas.openxmlformats.org/officeDocument/2006/relationships/hyperlink" Target="https://scholar.google.com.br/citations?hl=pt-BR&amp;view_op=list_hcore&amp;venue=aRfvSgRTrjoJ.2024" TargetMode="External"/><Relationship Id="rId133" Type="http://schemas.openxmlformats.org/officeDocument/2006/relationships/hyperlink" Target="https://dblp.org/db/conf/coopis/index.html" TargetMode="External"/><Relationship Id="rId62" Type="http://schemas.openxmlformats.org/officeDocument/2006/relationships/hyperlink" Target="https://scholar.google.com.br/citations?hl=pt-PT&amp;view_op=list_hcore&amp;venue=H7TUtVM_vm4J.2023" TargetMode="External"/><Relationship Id="rId61" Type="http://schemas.openxmlformats.org/officeDocument/2006/relationships/hyperlink" Target="https://dblp.org/db/conf/acis/index.html" TargetMode="External"/><Relationship Id="rId64" Type="http://schemas.openxmlformats.org/officeDocument/2006/relationships/hyperlink" Target="https://scholar.google.com.br/citations?hl=pt-PT&amp;view_op=list_hcore&amp;venue=LqrQjvOguiMJ.2023" TargetMode="External"/><Relationship Id="rId63" Type="http://schemas.openxmlformats.org/officeDocument/2006/relationships/hyperlink" Target="https://dblp.org/db/conf/conll/index.html" TargetMode="External"/><Relationship Id="rId66" Type="http://schemas.openxmlformats.org/officeDocument/2006/relationships/hyperlink" Target="https://scholar.google.com/scholar?q=%22Conference+on+ENTERprise+Information+Systems+(CENTERIS)%22&amp;hl=pt-BR&amp;as_sdt=0,5&amp;as_ylo=2020&amp;as_yhi=2024" TargetMode="External"/><Relationship Id="rId172" Type="http://schemas.openxmlformats.org/officeDocument/2006/relationships/hyperlink" Target="https://scholar.google.com.br/citations?hl=pt-PT&amp;view_op=list_hcore&amp;venue=lySJ7rWrE4EJ.2023" TargetMode="External"/><Relationship Id="rId65" Type="http://schemas.openxmlformats.org/officeDocument/2006/relationships/hyperlink" Target="https://dblp.org/db/conf/emnlp/index.html" TargetMode="External"/><Relationship Id="rId171" Type="http://schemas.openxmlformats.org/officeDocument/2006/relationships/hyperlink" Target="https://dblp.org/db/conf/socinfo/index.html" TargetMode="External"/><Relationship Id="rId68" Type="http://schemas.openxmlformats.org/officeDocument/2006/relationships/hyperlink" Target="https://dblp.org/db/conf/centeris/index.html" TargetMode="External"/><Relationship Id="rId170" Type="http://schemas.openxmlformats.org/officeDocument/2006/relationships/hyperlink" Target="https://scholar.google.com/scholar?q=%22International+Conference+on+Social+Informatics%22&amp;hl=pt-BR&amp;as_sdt=0,5&amp;as_ylo=2020&amp;as_yhi=2024" TargetMode="External"/><Relationship Id="rId67" Type="http://schemas.openxmlformats.org/officeDocument/2006/relationships/hyperlink" Target="https://hal.science/hal-04740043/" TargetMode="External"/><Relationship Id="rId60" Type="http://schemas.openxmlformats.org/officeDocument/2006/relationships/hyperlink" Target="https://scholar.google.com.br/citations?hl=pt-PT&amp;view_op=list_hcore&amp;venue=HnFLZaxAg88J.2023" TargetMode="External"/><Relationship Id="rId165" Type="http://schemas.openxmlformats.org/officeDocument/2006/relationships/hyperlink" Target="https://dblp.org/db/conf/rcis/index.html" TargetMode="External"/><Relationship Id="rId69" Type="http://schemas.openxmlformats.org/officeDocument/2006/relationships/hyperlink" Target="https://scholar.google.com.br/scholar?q=%22AAAI+Conference+on+Human+Computation+and+Crowdsourcing%22&amp;hl=pt-PT&amp;as_sdt=0,5&amp;as_ylo=2020&amp;as_yhi=2024" TargetMode="External"/><Relationship Id="rId164" Type="http://schemas.openxmlformats.org/officeDocument/2006/relationships/hyperlink" Target="https://scholar.google.com.br/citations?hl=pt-PT&amp;view_op=list_hcore&amp;venue=yxUYnK6YD7QJ.2024" TargetMode="External"/><Relationship Id="rId163" Type="http://schemas.openxmlformats.org/officeDocument/2006/relationships/hyperlink" Target="https://dblp.org/db/conf/niss/index.html" TargetMode="External"/><Relationship Id="rId162" Type="http://schemas.openxmlformats.org/officeDocument/2006/relationships/hyperlink" Target="https://scholar.google.com.br/citations?hl=pt-PT&amp;view_op=list_hcore&amp;venue=-dXCJGbxPbsJ.2023" TargetMode="External"/><Relationship Id="rId169" Type="http://schemas.openxmlformats.org/officeDocument/2006/relationships/hyperlink" Target="https://dblp.org/db/conf/socialcom/index.html" TargetMode="External"/><Relationship Id="rId168" Type="http://schemas.openxmlformats.org/officeDocument/2006/relationships/hyperlink" Target="https://scholar.google.com/scholar?hl=pt-BR&amp;as_sdt=0%2C5&amp;as_ylo=2020&amp;as_yhi=2024&amp;q=%22IEEE+International+Conference+on+Social+Computing+%28SocialCom%29%22&amp;btnG=" TargetMode="External"/><Relationship Id="rId167" Type="http://schemas.openxmlformats.org/officeDocument/2006/relationships/hyperlink" Target="https://dblp.org/db/conf/icsc/index.html" TargetMode="External"/><Relationship Id="rId166" Type="http://schemas.openxmlformats.org/officeDocument/2006/relationships/hyperlink" Target="https://scholar.google.com.br/citations?hl=pt-PT&amp;view_op=list_hcore&amp;venue=xo4pTqxCvn8J.2023" TargetMode="External"/><Relationship Id="rId51" Type="http://schemas.openxmlformats.org/officeDocument/2006/relationships/hyperlink" Target="https://dblp.org/db/conf/recsys/index.html" TargetMode="External"/><Relationship Id="rId50" Type="http://schemas.openxmlformats.org/officeDocument/2006/relationships/hyperlink" Target="https://scholar.google.com.br/citations?hl=pt-PT&amp;view_op=list_hcore&amp;venue=4-w_STT7RmEJ.2023" TargetMode="External"/><Relationship Id="rId53" Type="http://schemas.openxmlformats.org/officeDocument/2006/relationships/hyperlink" Target="https://dblp.org/db/conf/cikm/index.html" TargetMode="External"/><Relationship Id="rId52" Type="http://schemas.openxmlformats.org/officeDocument/2006/relationships/hyperlink" Target="https://scholar.google.com.br/citations?hl=pt-PT&amp;view_op=list_hcore&amp;venue=V-IMg2OTpU8J.2023" TargetMode="External"/><Relationship Id="rId55" Type="http://schemas.openxmlformats.org/officeDocument/2006/relationships/hyperlink" Target="https://dblp.org/db/conf/sac/index.html" TargetMode="External"/><Relationship Id="rId161" Type="http://schemas.openxmlformats.org/officeDocument/2006/relationships/hyperlink" Target="https://dblp.org/db/conf/medes/index.html" TargetMode="External"/><Relationship Id="rId54" Type="http://schemas.openxmlformats.org/officeDocument/2006/relationships/hyperlink" Target="https://scholar.google.com.br/citations?hl=pt-PT&amp;view_op=list_hcore&amp;venue=eLhWa3qzEDsJ.2023" TargetMode="External"/><Relationship Id="rId160" Type="http://schemas.openxmlformats.org/officeDocument/2006/relationships/hyperlink" Target="https://scholar.google.com.br/citations?hl=pt-PT&amp;view_op=list_hcore&amp;venue=8r87ioMWSPAJ.2024" TargetMode="External"/><Relationship Id="rId57" Type="http://schemas.openxmlformats.org/officeDocument/2006/relationships/hyperlink" Target="https://dblp.org/db/conf/cloud/index.html" TargetMode="External"/><Relationship Id="rId56" Type="http://schemas.openxmlformats.org/officeDocument/2006/relationships/hyperlink" Target="https://scholar.google.com.br/citations?hl=pt-PT&amp;view_op=list_hcore&amp;venue=o1durVJyeP4J.2023" TargetMode="External"/><Relationship Id="rId159" Type="http://schemas.openxmlformats.org/officeDocument/2006/relationships/hyperlink" Target="https://dblp.org/db/conf/jurix/index.html" TargetMode="External"/><Relationship Id="rId59" Type="http://schemas.openxmlformats.org/officeDocument/2006/relationships/hyperlink" Target="https://dblp.org/db/conf/cogsci/index.html" TargetMode="External"/><Relationship Id="rId154" Type="http://schemas.openxmlformats.org/officeDocument/2006/relationships/hyperlink" Target="https://scholar.google.com.br/citations?hl=pt-PT&amp;view_op=list_hcore&amp;venue=-yAq_nHfnI0J.2024" TargetMode="External"/><Relationship Id="rId58" Type="http://schemas.openxmlformats.org/officeDocument/2006/relationships/hyperlink" Target="https://scholar.google.com.br/citations?hl=pt-PT&amp;view_op=list_hcore&amp;venue=e23jKy7NXr8J.2023" TargetMode="External"/><Relationship Id="rId153" Type="http://schemas.openxmlformats.org/officeDocument/2006/relationships/hyperlink" Target="https://dblp.org/db/conf/kesw/index.html" TargetMode="External"/><Relationship Id="rId152" Type="http://schemas.openxmlformats.org/officeDocument/2006/relationships/hyperlink" Target="https://scholar.google.com/scholar?q=International+Conference+on+Knowledge+Engineering+and+Semantic+Web&amp;hl=pt-BR&amp;as_sdt=0,5&amp;as_ylo=2020&amp;as_yhi=2024" TargetMode="External"/><Relationship Id="rId151" Type="http://schemas.openxmlformats.org/officeDocument/2006/relationships/hyperlink" Target="https://dblp.org/db/conf/cicling/index.html" TargetMode="External"/><Relationship Id="rId158" Type="http://schemas.openxmlformats.org/officeDocument/2006/relationships/hyperlink" Target="https://scholar.google.com.br/citations?hl=pt-PT&amp;view_op=list_hcore&amp;venue=hTnzOl0B1DQJ.2024" TargetMode="External"/><Relationship Id="rId157" Type="http://schemas.openxmlformats.org/officeDocument/2006/relationships/hyperlink" Target="https://dblp.org/db/conf/kes/index.html" TargetMode="External"/><Relationship Id="rId156" Type="http://schemas.openxmlformats.org/officeDocument/2006/relationships/hyperlink" Target="https://scholar.google.com.br/scholar?q=source%3AInternational+source%3AConference+source%3Aon+source%3AKnowledge-Based+source%3Aand+source%3AIntelligent+source%3AInformation+source%3A%26+source%3AEngineering+source%3ASystems&amp;hl=pt-BR&amp;as_sdt=0%2C5&amp;as_ylo=2020&amp;as_yhi=2024" TargetMode="External"/><Relationship Id="rId155" Type="http://schemas.openxmlformats.org/officeDocument/2006/relationships/hyperlink" Target="https://dblp.org/db/conf/kmo/index.html" TargetMode="External"/><Relationship Id="rId107" Type="http://schemas.openxmlformats.org/officeDocument/2006/relationships/hyperlink" Target="https://dblp.org/db/conf/ifip8-1/index.html" TargetMode="External"/><Relationship Id="rId106" Type="http://schemas.openxmlformats.org/officeDocument/2006/relationships/hyperlink" Target="https://scholar.google.com.br/citations?hl=pt-BR&amp;view_op=list_hcore&amp;venue=e5pHNeuFGzEJ.2023" TargetMode="External"/><Relationship Id="rId105" Type="http://schemas.openxmlformats.org/officeDocument/2006/relationships/hyperlink" Target="https://dblp.org/db/conf/ccgrid/index.html" TargetMode="External"/><Relationship Id="rId104" Type="http://schemas.openxmlformats.org/officeDocument/2006/relationships/hyperlink" Target="https://scholar.google.com/scholar?q=%22IEEE%2FACM+International+Symposium+on+Cluster%2C+Cloud+and+Grid+Computing%22&amp;hl=pt-BR&amp;as_sdt=0%2C5&amp;as_ylo=2020&amp;as_yhi=2024" TargetMode="External"/><Relationship Id="rId109" Type="http://schemas.openxmlformats.org/officeDocument/2006/relationships/hyperlink" Target="https://dblp.org/db/conf/ias/index.html" TargetMode="External"/><Relationship Id="rId108" Type="http://schemas.openxmlformats.org/officeDocument/2006/relationships/hyperlink" Target="https://scholar.google.com/scholar?q=%22Industry+Applications+Society+Annual+Meeting%22&amp;hl=pt-BR&amp;as_sdt=0%2C5&amp;as_ylo=2020&amp;as_yhi=2024" TargetMode="External"/><Relationship Id="rId103" Type="http://schemas.openxmlformats.org/officeDocument/2006/relationships/hyperlink" Target="https://dblp.org/db/conf/icws/index.html" TargetMode="External"/><Relationship Id="rId102" Type="http://schemas.openxmlformats.org/officeDocument/2006/relationships/hyperlink" Target="https://scholar.google.com.br/citations?hl=pt-PT&amp;view_op=list_hcore&amp;venue=UYzshLpmx2EJ.2024" TargetMode="External"/><Relationship Id="rId101" Type="http://schemas.openxmlformats.org/officeDocument/2006/relationships/hyperlink" Target="https://dblp.org/db/conf/IEEEscc/index.html" TargetMode="External"/><Relationship Id="rId100" Type="http://schemas.openxmlformats.org/officeDocument/2006/relationships/hyperlink" Target="https://scholar.google.com.br/citations?hl=pt-PT&amp;view_op=list_hcore&amp;venue=_Fj23yox54QJ.2024" TargetMode="External"/><Relationship Id="rId212" Type="http://schemas.openxmlformats.org/officeDocument/2006/relationships/drawing" Target="../drawings/drawing28.xml"/><Relationship Id="rId211" Type="http://schemas.openxmlformats.org/officeDocument/2006/relationships/hyperlink" Target="https://scholar.google.com/scholar?hl=pt-BR&amp;as_sdt=0%2C5&amp;as_ylo=2020&amp;as_yhi=2024&amp;q=%22Workshop-School+on+Agents%2C+Environments%2C+and+Applications%22&amp;btnG=" TargetMode="External"/><Relationship Id="rId210" Type="http://schemas.openxmlformats.org/officeDocument/2006/relationships/hyperlink" Target="https://dblp.org/db/conf/cisim/index.html" TargetMode="External"/><Relationship Id="rId129" Type="http://schemas.openxmlformats.org/officeDocument/2006/relationships/hyperlink" Target="https://dblp.org/db/conf/cits/index.html" TargetMode="External"/><Relationship Id="rId128" Type="http://schemas.openxmlformats.org/officeDocument/2006/relationships/hyperlink" Target="https://scholar.google.com.br/citations?hl=pt-PT&amp;view_op=list_hcore&amp;venue=FdZkG8N8jboJ.2024" TargetMode="External"/><Relationship Id="rId127" Type="http://schemas.openxmlformats.org/officeDocument/2006/relationships/hyperlink" Target="https://dblp.org/db/conf/cloudtech/index.html" TargetMode="External"/><Relationship Id="rId126" Type="http://schemas.openxmlformats.org/officeDocument/2006/relationships/hyperlink" Target="https://scholar.google.com/scholar?q=%22International+Conference+on+Cloud+Computing+Technologies+and+Applications%22&amp;hl=pt-BR&amp;as_sdt=0%2C5&amp;as_ylo=2020&amp;as_yhi=2024" TargetMode="External"/><Relationship Id="rId121" Type="http://schemas.openxmlformats.org/officeDocument/2006/relationships/hyperlink" Target="https://dblp.org/db/conf/nldb/index.html" TargetMode="External"/><Relationship Id="rId120" Type="http://schemas.openxmlformats.org/officeDocument/2006/relationships/hyperlink" Target="https://scholar.google.com.br/citations?hl=pt-PT&amp;view_op=list_hcore&amp;venue=4YrITWKg3KAJ.2023" TargetMode="External"/><Relationship Id="rId125" Type="http://schemas.openxmlformats.org/officeDocument/2006/relationships/hyperlink" Target="https://dblp.org/db/conf/closer/index.html" TargetMode="External"/><Relationship Id="rId124" Type="http://schemas.openxmlformats.org/officeDocument/2006/relationships/hyperlink" Target="https://scholar.google.com.br/citations?hl=pt-PT&amp;view_op=list_hcore&amp;venue=hltkuBaF_uEJ.2024" TargetMode="External"/><Relationship Id="rId123" Type="http://schemas.openxmlformats.org/officeDocument/2006/relationships/hyperlink" Target="https://dblp.org/db/conf/bis/index.html" TargetMode="External"/><Relationship Id="rId122" Type="http://schemas.openxmlformats.org/officeDocument/2006/relationships/hyperlink" Target="https://scholar.google.com.br/citations?hl=pt-PT&amp;view_op=list_hcore&amp;venue=qAXde7fvX5YJ.2023" TargetMode="External"/><Relationship Id="rId95" Type="http://schemas.openxmlformats.org/officeDocument/2006/relationships/hyperlink" Target="https://dblp.org/db/conf/cit/index.html" TargetMode="External"/><Relationship Id="rId94" Type="http://schemas.openxmlformats.org/officeDocument/2006/relationships/hyperlink" Target="https://scholar.google.com.br/scholar?q=%22IEEE+International+Conference+on+Computer+and+Information+Technology%22&amp;hl=pt-BR&amp;as_sdt=0%2C5&amp;as_ylo=2020&amp;as_yhi=2024" TargetMode="External"/><Relationship Id="rId97" Type="http://schemas.openxmlformats.org/officeDocument/2006/relationships/hyperlink" Target="https://dblp.org/db/conf/dsaa/index.html" TargetMode="External"/><Relationship Id="rId96" Type="http://schemas.openxmlformats.org/officeDocument/2006/relationships/hyperlink" Target="https://scholar.google.com.br/citations?hl=pt-PT&amp;view_op=list_hcore&amp;venue=ZHdJbJwh40EJ.2024" TargetMode="External"/><Relationship Id="rId99" Type="http://schemas.openxmlformats.org/officeDocument/2006/relationships/hyperlink" Target="https://dblp.org/db/conf/iciis/index.html" TargetMode="External"/><Relationship Id="rId98" Type="http://schemas.openxmlformats.org/officeDocument/2006/relationships/hyperlink" Target="https://scholar.google.com.br/citations?hl=pt-PT&amp;view_op=list_hcore&amp;venue=1ghmjqkbs8UJ.2024" TargetMode="External"/><Relationship Id="rId91" Type="http://schemas.openxmlformats.org/officeDocument/2006/relationships/hyperlink" Target="https://dblp.org/db/conf/cloudcom/index.html" TargetMode="External"/><Relationship Id="rId90" Type="http://schemas.openxmlformats.org/officeDocument/2006/relationships/hyperlink" Target="https://scholar.google.com.br/citations?hl=pt-PT&amp;view_op=list_hcore&amp;venue=aNZ314HiR4YJ.2024" TargetMode="External"/><Relationship Id="rId93" Type="http://schemas.openxmlformats.org/officeDocument/2006/relationships/hyperlink" Target="https://dblp.org/db/conf/cloudnet/index.html" TargetMode="External"/><Relationship Id="rId92" Type="http://schemas.openxmlformats.org/officeDocument/2006/relationships/hyperlink" Target="https://scholar.google.com.br/citations?hl=pt-PT&amp;view_op=list_hcore&amp;venue=xDYTOighRhwJ.2024" TargetMode="External"/><Relationship Id="rId118" Type="http://schemas.openxmlformats.org/officeDocument/2006/relationships/hyperlink" Target="https://scholar.google.com.br/citations?hl=pt-PT&amp;view_op=list_hcore&amp;venue=lyn0_4ToR5cJ.2023" TargetMode="External"/><Relationship Id="rId117" Type="http://schemas.openxmlformats.org/officeDocument/2006/relationships/hyperlink" Target="https://dblp.org/db/conf/asunam/index.html" TargetMode="External"/><Relationship Id="rId116" Type="http://schemas.openxmlformats.org/officeDocument/2006/relationships/hyperlink" Target="https://scholar.google.com.br/citations?hl=pt-PT&amp;view_op=list_hcore&amp;venue=71Q5CJZj-VYJ.2023" TargetMode="External"/><Relationship Id="rId115" Type="http://schemas.openxmlformats.org/officeDocument/2006/relationships/hyperlink" Target="https://dblp.org/db/conf/cedem/index.html" TargetMode="External"/><Relationship Id="rId119" Type="http://schemas.openxmlformats.org/officeDocument/2006/relationships/hyperlink" Target="https://dblp.org/db/conf/aict/index.html" TargetMode="External"/><Relationship Id="rId110" Type="http://schemas.openxmlformats.org/officeDocument/2006/relationships/hyperlink" Target="https://scholar.google.com.br/citations?hl=pt-PT&amp;view_op=list_hcore&amp;venue=jpqK-S5bXocJ.2023" TargetMode="External"/><Relationship Id="rId114" Type="http://schemas.openxmlformats.org/officeDocument/2006/relationships/hyperlink" Target="https://scholar.google.com/scholar?q=International+Conference+for+E-Democracy+and+Open+Government&amp;hl=pt-BR&amp;as_sdt=0%2C5&amp;as_ylo=2020&amp;as_yhi=2024" TargetMode="External"/><Relationship Id="rId113" Type="http://schemas.openxmlformats.org/officeDocument/2006/relationships/hyperlink" Target="https://aisel.aisnet.org/isla/" TargetMode="External"/><Relationship Id="rId112" Type="http://schemas.openxmlformats.org/officeDocument/2006/relationships/hyperlink" Target="https://scholar.google.com/scholar?q=%22Information+Systems+in+Latin+America%22&amp;hl=pt-BR&amp;as_sdt=0%2C5&amp;as_ylo=2020&amp;as_yhi=2024" TargetMode="External"/><Relationship Id="rId111" Type="http://schemas.openxmlformats.org/officeDocument/2006/relationships/hyperlink" Target="https://dblp.org/db/conf/iscram/index.html" TargetMode="External"/><Relationship Id="rId206" Type="http://schemas.openxmlformats.org/officeDocument/2006/relationships/hyperlink" Target="https://sol.sbc.org.br/index.php/wcge/issue/archive" TargetMode="External"/><Relationship Id="rId205" Type="http://schemas.openxmlformats.org/officeDocument/2006/relationships/hyperlink" Target="https://scholar.google.com/scholar?hl=pt-BR&amp;as_sdt=0%2C5&amp;as_ylo=2020&amp;as_yhi=2024&amp;q=%22Workshop+de+Computa%C3%A7%C3%A3o+Aplicada+em+Governo+Eletr%C3%B4nico%22&amp;btnG=" TargetMode="External"/><Relationship Id="rId204" Type="http://schemas.openxmlformats.org/officeDocument/2006/relationships/hyperlink" Target="https://sol.sbc.org.br/index.php/wcama/issue/archive" TargetMode="External"/><Relationship Id="rId203" Type="http://schemas.openxmlformats.org/officeDocument/2006/relationships/hyperlink" Target="https://scholar.google.com.br/scholar?q=%22Workshop+de+Computa%C3%A7%C3%A3o+Aplicada+%C3%A0+Gest%C3%A3o+do+Meio+Ambiente+e+Recursos+Naturais%22&amp;hl=pt-BR&amp;as_sdt=0%2C5&amp;as_ylo=2020&amp;as_yhi=2024" TargetMode="External"/><Relationship Id="rId209" Type="http://schemas.openxmlformats.org/officeDocument/2006/relationships/hyperlink" Target="https://scholar.google.com/scholar?hl=pt-BR&amp;as_sdt=0%2C5&amp;as_ylo=2020&amp;as_yhi=2024&amp;q=%22International+Conference+on+Computer+Information+Systems+and+Industrial+Management%22&amp;btnG=" TargetMode="External"/><Relationship Id="rId208" Type="http://schemas.openxmlformats.org/officeDocument/2006/relationships/hyperlink" Target="https://dblp.org/db/conf/bpm/bpmw2022.html" TargetMode="External"/><Relationship Id="rId207" Type="http://schemas.openxmlformats.org/officeDocument/2006/relationships/hyperlink" Target="https://scholar.google.com.br/scholar?q=%22Workshop+on+Social+and+Human+Aspects+of+Business+Process+Management%22&amp;hl=pt-BR&amp;as_sdt=0%2C5&amp;as_ylo=2020&amp;as_yhi=2024" TargetMode="External"/><Relationship Id="rId202" Type="http://schemas.openxmlformats.org/officeDocument/2006/relationships/hyperlink" Target="https://dblp.org/db/conf/websci/index.html" TargetMode="External"/><Relationship Id="rId201" Type="http://schemas.openxmlformats.org/officeDocument/2006/relationships/hyperlink" Target="https://scholar.google.com.br/citations?hl=pt-PT&amp;view_op=list_hcore&amp;venue=bjjY0KRB7JIJ.2023" TargetMode="External"/><Relationship Id="rId200" Type="http://schemas.openxmlformats.org/officeDocument/2006/relationships/hyperlink" Target="https://sol.sbc.org.br/index.php/ihc/issue/archive" TargetMode="External"/></Relationships>
</file>

<file path=xl/worksheets/_rels/sheet29.xml.rels><?xml version="1.0" encoding="UTF-8" standalone="yes"?><Relationships xmlns="http://schemas.openxmlformats.org/package/2006/relationships"><Relationship Id="rId40" Type="http://schemas.openxmlformats.org/officeDocument/2006/relationships/hyperlink" Target="https://scholar.google.com.br/citations?hl=pt-BR&amp;view_op=list_hcore&amp;venue=0oQi0-PzQ8sJ.2024" TargetMode="External"/><Relationship Id="rId42" Type="http://schemas.openxmlformats.org/officeDocument/2006/relationships/hyperlink" Target="https://scholar.google.com.br/citations?hl=pt-BR&amp;view_op=list_hcore&amp;venue=VtCeQ7ShDloJ.2024" TargetMode="External"/><Relationship Id="rId41" Type="http://schemas.openxmlformats.org/officeDocument/2006/relationships/hyperlink" Target="https://dblp.org/db/conf/webist/index.html" TargetMode="External"/><Relationship Id="rId44" Type="http://schemas.openxmlformats.org/officeDocument/2006/relationships/hyperlink" Target="https://scholar.google.com.br/citations?hl=pt-BR&amp;view_op=list_hcore&amp;venue=sGmafh2RqU8J.2024" TargetMode="External"/><Relationship Id="rId43" Type="http://schemas.openxmlformats.org/officeDocument/2006/relationships/hyperlink" Target="https://dblp.org/db/conf/www/index.html" TargetMode="External"/><Relationship Id="rId46" Type="http://schemas.openxmlformats.org/officeDocument/2006/relationships/hyperlink" Target="https://scholar.google.com.br/citations?hl=pt-BR&amp;view_op=list_hcore&amp;venue=w_KC2fvJJQEJ.2024" TargetMode="External"/><Relationship Id="rId45" Type="http://schemas.openxmlformats.org/officeDocument/2006/relationships/hyperlink" Target="https://dblp.org/db/conf/mdm/index.html" TargetMode="External"/><Relationship Id="rId48" Type="http://schemas.openxmlformats.org/officeDocument/2006/relationships/hyperlink" Target="https://scholar.google.com.br/citations?hl=pt-BR&amp;view_op=list_hcore&amp;venue=cP2AyDfWCcQJ.2024" TargetMode="External"/><Relationship Id="rId47" Type="http://schemas.openxmlformats.org/officeDocument/2006/relationships/hyperlink" Target="https://dblp.org/db/conf/ssdbm/index.html" TargetMode="External"/><Relationship Id="rId185" Type="http://schemas.openxmlformats.org/officeDocument/2006/relationships/drawing" Target="../drawings/drawing29.xml"/><Relationship Id="rId49" Type="http://schemas.openxmlformats.org/officeDocument/2006/relationships/hyperlink" Target="https://dblp.org/db/conf/date/index.html" TargetMode="External"/><Relationship Id="rId184" Type="http://schemas.openxmlformats.org/officeDocument/2006/relationships/hyperlink" Target="https://dblp.org/db/conf/fomi/index.html" TargetMode="External"/><Relationship Id="rId31" Type="http://schemas.openxmlformats.org/officeDocument/2006/relationships/hyperlink" Target="https://dblp.org/db/conf/adbis/index.html" TargetMode="External"/><Relationship Id="rId30" Type="http://schemas.openxmlformats.org/officeDocument/2006/relationships/hyperlink" Target="https://scholar.google.com.br/citations?hl=pt-BR&amp;view_op=list_hcore&amp;venue=pEYfHFCSslcJ.2024" TargetMode="External"/><Relationship Id="rId33" Type="http://schemas.openxmlformats.org/officeDocument/2006/relationships/hyperlink" Target="https://sol.sbc.org.br/index.php/kdmile/issue/archive" TargetMode="External"/><Relationship Id="rId183" Type="http://schemas.openxmlformats.org/officeDocument/2006/relationships/hyperlink" Target="https://scholar.google.com.br/citations?hl=pt-BR&amp;view_op=list_hcore&amp;venue=ioogpST64ngJ.2024" TargetMode="External"/><Relationship Id="rId32" Type="http://schemas.openxmlformats.org/officeDocument/2006/relationships/hyperlink" Target="https://scholar.google.com.br/citations?hl=pt-BR&amp;view_op=list_hcore&amp;venue=ktOlY8k93VoJ.2024" TargetMode="External"/><Relationship Id="rId182" Type="http://schemas.openxmlformats.org/officeDocument/2006/relationships/hyperlink" Target="https://dblp.org/db/conf/spire/index.html" TargetMode="External"/><Relationship Id="rId35" Type="http://schemas.openxmlformats.org/officeDocument/2006/relationships/hyperlink" Target="https://dblp.org/db/conf/iiwas/index.html" TargetMode="External"/><Relationship Id="rId181" Type="http://schemas.openxmlformats.org/officeDocument/2006/relationships/hyperlink" Target="https://scholar.google.com.br/citations?hl=pt-BR&amp;view_op=list_hcore&amp;venue=XnbofvWLXMEJ.2024" TargetMode="External"/><Relationship Id="rId34" Type="http://schemas.openxmlformats.org/officeDocument/2006/relationships/hyperlink" Target="https://scholar.google.com.br/citations?hl=pt-BR&amp;view_op=list_hcore&amp;venue=Tq_VLYZkpzwJ.2024" TargetMode="External"/><Relationship Id="rId180" Type="http://schemas.openxmlformats.org/officeDocument/2006/relationships/hyperlink" Target="https://dblp.org/db/conf/fois/index.html" TargetMode="External"/><Relationship Id="rId37" Type="http://schemas.openxmlformats.org/officeDocument/2006/relationships/hyperlink" Target="https://dblp.org/db/conf/iceis/index.html" TargetMode="External"/><Relationship Id="rId176" Type="http://schemas.openxmlformats.org/officeDocument/2006/relationships/hyperlink" Target="https://scholar.google.com.br/citations?hl=pt-BR&amp;view_op=list_hcore&amp;venue=PSE2-0BFoDQJ.2024" TargetMode="External"/><Relationship Id="rId36" Type="http://schemas.openxmlformats.org/officeDocument/2006/relationships/hyperlink" Target="https://scholar.google.com.br/citations?hl=pt-BR&amp;view_op=list_hcore&amp;venue=zsGWp1QJr3AJ.2024" TargetMode="External"/><Relationship Id="rId175" Type="http://schemas.openxmlformats.org/officeDocument/2006/relationships/hyperlink" Target="https://dblp.org/db/conf/ldav/index.html" TargetMode="External"/><Relationship Id="rId39" Type="http://schemas.openxmlformats.org/officeDocument/2006/relationships/hyperlink" Target="https://dblp.org/db/conf/closer/index.html" TargetMode="External"/><Relationship Id="rId174" Type="http://schemas.openxmlformats.org/officeDocument/2006/relationships/hyperlink" Target="https://dblp.org/db/conf/kr/index.html" TargetMode="External"/><Relationship Id="rId38" Type="http://schemas.openxmlformats.org/officeDocument/2006/relationships/hyperlink" Target="https://scholar.google.com.br/citations?hl=pt-BR&amp;view_op=list_hcore&amp;venue=hltkuBaF_uEJ.2024" TargetMode="External"/><Relationship Id="rId173" Type="http://schemas.openxmlformats.org/officeDocument/2006/relationships/hyperlink" Target="https://scholar.google.com.br/citations?hl=pt-BR&amp;view_op=list_hcore&amp;venue=mK5NIOh7kkEJ.2024" TargetMode="External"/><Relationship Id="rId179" Type="http://schemas.openxmlformats.org/officeDocument/2006/relationships/hyperlink" Target="https://dblp.org/db/conf/ontobras/index.html" TargetMode="External"/><Relationship Id="rId178" Type="http://schemas.openxmlformats.org/officeDocument/2006/relationships/hyperlink" Target="https://scholar.google.com.br/citations?hl=pt-BR&amp;view_op=list_hcore&amp;venue=xUT2Pv_FWpIJ.2024" TargetMode="External"/><Relationship Id="rId177" Type="http://schemas.openxmlformats.org/officeDocument/2006/relationships/hyperlink" Target="https://dblp.org/db/conf/simbig/index.html" TargetMode="External"/><Relationship Id="rId20" Type="http://schemas.openxmlformats.org/officeDocument/2006/relationships/hyperlink" Target="https://scholar.google.com.br/citations?hl=pt-BR&amp;view_op=list_hcore&amp;venue=5zblDmoFLZAJ.2024" TargetMode="External"/><Relationship Id="rId22" Type="http://schemas.openxmlformats.org/officeDocument/2006/relationships/hyperlink" Target="https://scholar.google.com.br/citations?hl=pt-BR&amp;view_op=list_hcore&amp;venue=BGvdky_UalUJ.2024" TargetMode="External"/><Relationship Id="rId21" Type="http://schemas.openxmlformats.org/officeDocument/2006/relationships/hyperlink" Target="https://dblp.org/db/conf/cidr/index.html" TargetMode="External"/><Relationship Id="rId24" Type="http://schemas.openxmlformats.org/officeDocument/2006/relationships/hyperlink" Target="https://scholar.google.com.br/citations?hl=pt-BR&amp;view_op=list_hcore&amp;venue=yD4mA_VATukJ.2024" TargetMode="External"/><Relationship Id="rId23" Type="http://schemas.openxmlformats.org/officeDocument/2006/relationships/hyperlink" Target="https://dblp.org/db/conf/icdt/index.html" TargetMode="External"/><Relationship Id="rId26" Type="http://schemas.openxmlformats.org/officeDocument/2006/relationships/hyperlink" Target="https://scholar.google.com.br/citations?hl=pt-BR&amp;view_op=list_hcore&amp;venue=fdahdoWKyTYJ.2024" TargetMode="External"/><Relationship Id="rId25" Type="http://schemas.openxmlformats.org/officeDocument/2006/relationships/hyperlink" Target="https://dblp.org/db/conf/dasfaa/index.html" TargetMode="External"/><Relationship Id="rId28" Type="http://schemas.openxmlformats.org/officeDocument/2006/relationships/hyperlink" Target="https://scholar.google.com.br/citations?hl=pt-BR&amp;view_op=list_hcore&amp;venue=2M02lZ1WL6IJ.2024" TargetMode="External"/><Relationship Id="rId27" Type="http://schemas.openxmlformats.org/officeDocument/2006/relationships/hyperlink" Target="https://dblp.org/db/conf/ideas/index.html" TargetMode="External"/><Relationship Id="rId29" Type="http://schemas.openxmlformats.org/officeDocument/2006/relationships/hyperlink" Target="https://dblp.org/db/conf/dexa/index.html" TargetMode="External"/><Relationship Id="rId11" Type="http://schemas.openxmlformats.org/officeDocument/2006/relationships/hyperlink" Target="https://scholar.google.com.br/citations?hl=pt-BR&amp;view_op=list_hcore&amp;venue=V-IMg2OTpU8J.2024" TargetMode="External"/><Relationship Id="rId10" Type="http://schemas.openxmlformats.org/officeDocument/2006/relationships/hyperlink" Target="https://dblp.org/db/conf/edbt/index.html" TargetMode="External"/><Relationship Id="rId13" Type="http://schemas.openxmlformats.org/officeDocument/2006/relationships/hyperlink" Target="https://scholar.google.com.br/citations?hl=pt-BR&amp;view_op=list_hcore&amp;venue=wB6WaEpFlvgJ.2024" TargetMode="External"/><Relationship Id="rId12" Type="http://schemas.openxmlformats.org/officeDocument/2006/relationships/hyperlink" Target="https://dblp.org/db/conf/cikm/index.html" TargetMode="External"/><Relationship Id="rId15" Type="http://schemas.openxmlformats.org/officeDocument/2006/relationships/hyperlink" Target="https://scholar.google.com.br/citations?hl=pt-BR&amp;view_op=list_hcore&amp;venue=ixetonJUY2YJ.2024" TargetMode="External"/><Relationship Id="rId14" Type="http://schemas.openxmlformats.org/officeDocument/2006/relationships/hyperlink" Target="https://dblp.org/db/conf/er/index.html" TargetMode="External"/><Relationship Id="rId17" Type="http://schemas.openxmlformats.org/officeDocument/2006/relationships/hyperlink" Target="https://sol.sbc.org.br/index.php/sbbd/issue/archive" TargetMode="External"/><Relationship Id="rId16" Type="http://schemas.openxmlformats.org/officeDocument/2006/relationships/hyperlink" Target="https://dblp.org/db/conf/sbbd/index.html" TargetMode="External"/><Relationship Id="rId19" Type="http://schemas.openxmlformats.org/officeDocument/2006/relationships/hyperlink" Target="https://dblp.org/db/conf/kdd/index.html" TargetMode="External"/><Relationship Id="rId18" Type="http://schemas.openxmlformats.org/officeDocument/2006/relationships/hyperlink" Target="https://scholar.google.com.br/citations?hl=pt-BR&amp;view_op=list_hcore&amp;venue=DxPOk84pRIIJ.2024" TargetMode="External"/><Relationship Id="rId84" Type="http://schemas.openxmlformats.org/officeDocument/2006/relationships/hyperlink" Target="https://dblp.org/db/conf/esws/index.html" TargetMode="External"/><Relationship Id="rId83" Type="http://schemas.openxmlformats.org/officeDocument/2006/relationships/hyperlink" Target="https://scholar.google.com.br/citations?hl=pt-BR&amp;view_op=list_hcore&amp;venue=mf0MeYwvqwoJ.2024" TargetMode="External"/><Relationship Id="rId86" Type="http://schemas.openxmlformats.org/officeDocument/2006/relationships/hyperlink" Target="https://dblp.org/db/conf/ecir/index.html" TargetMode="External"/><Relationship Id="rId85" Type="http://schemas.openxmlformats.org/officeDocument/2006/relationships/hyperlink" Target="https://scholar.google.com.br/citations?hl=pt-BR&amp;view_op=list_hcore&amp;venue=02SGYBvIz80J.2024" TargetMode="External"/><Relationship Id="rId88" Type="http://schemas.openxmlformats.org/officeDocument/2006/relationships/hyperlink" Target="https://dblp.org/db/conf/ecis/index.html" TargetMode="External"/><Relationship Id="rId150" Type="http://schemas.openxmlformats.org/officeDocument/2006/relationships/hyperlink" Target="https://scholar.google.com.br/citations?hl=pt-BR&amp;view_op=list_hcore&amp;venue=JQUkUFehKJAJ.2024" TargetMode="External"/><Relationship Id="rId87" Type="http://schemas.openxmlformats.org/officeDocument/2006/relationships/hyperlink" Target="https://scholar.google.com.br/citations?hl=pt-BR&amp;view_op=list_hcore&amp;venue=dF8xpB0_PnwJ.2024" TargetMode="External"/><Relationship Id="rId89" Type="http://schemas.openxmlformats.org/officeDocument/2006/relationships/hyperlink" Target="https://scholar.google.com.br/citations?hl=pt-BR&amp;view_op=list_hcore&amp;venue=B_DfwWWmEnMJ.2024" TargetMode="External"/><Relationship Id="rId80" Type="http://schemas.openxmlformats.org/officeDocument/2006/relationships/hyperlink" Target="https://dblp.org/db/conf/sigir/index.html" TargetMode="External"/><Relationship Id="rId82" Type="http://schemas.openxmlformats.org/officeDocument/2006/relationships/hyperlink" Target="https://dblp.org/db/conf/recsys/index.html" TargetMode="External"/><Relationship Id="rId81" Type="http://schemas.openxmlformats.org/officeDocument/2006/relationships/hyperlink" Target="https://scholar.google.com.br/citations?hl=pt-BR&amp;view_op=list_hcore&amp;venue=4-w_STT7RmEJ.2024" TargetMode="External"/><Relationship Id="rId1" Type="http://schemas.openxmlformats.org/officeDocument/2006/relationships/hyperlink" Target="https://scholar.google.com.br/citations?hl=pt-BR&amp;view_op=list_hcore&amp;venue=HgMIeQ05CyMJ.2024" TargetMode="External"/><Relationship Id="rId2" Type="http://schemas.openxmlformats.org/officeDocument/2006/relationships/hyperlink" Target="https://dblp.org/db/journals/pvldb/index.html" TargetMode="External"/><Relationship Id="rId3" Type="http://schemas.openxmlformats.org/officeDocument/2006/relationships/hyperlink" Target="https://scholar.google.com.br/citations?hl=pt-BR&amp;view_op=list_hcore&amp;venue=u1CjH9_75_cJ.2024" TargetMode="External"/><Relationship Id="rId149" Type="http://schemas.openxmlformats.org/officeDocument/2006/relationships/hyperlink" Target="https://sol.sbc.org.br/index.php/brasnam" TargetMode="External"/><Relationship Id="rId4" Type="http://schemas.openxmlformats.org/officeDocument/2006/relationships/hyperlink" Target="https://dblp.org/db/conf/sigmod/index.html" TargetMode="External"/><Relationship Id="rId148" Type="http://schemas.openxmlformats.org/officeDocument/2006/relationships/hyperlink" Target="https://scholar.google.com.br/citations?hl=pt-BR&amp;view_op=list_hcore&amp;venue=uCHdYLLURp0J.2024" TargetMode="External"/><Relationship Id="rId9" Type="http://schemas.openxmlformats.org/officeDocument/2006/relationships/hyperlink" Target="https://scholar.google.com.br/citations?hl=pt-BR&amp;view_op=list_hcore&amp;venue=WuE3NzMRZNAJ.2024" TargetMode="External"/><Relationship Id="rId143" Type="http://schemas.openxmlformats.org/officeDocument/2006/relationships/hyperlink" Target="https://dblp.org/db/conf/acl/index.html" TargetMode="External"/><Relationship Id="rId142" Type="http://schemas.openxmlformats.org/officeDocument/2006/relationships/hyperlink" Target="https://scholar.google.com.br/citations?hl=pt-BR&amp;view_op=list_hcore&amp;venue=Y3UjV9bSCxMJ.2024" TargetMode="External"/><Relationship Id="rId141" Type="http://schemas.openxmlformats.org/officeDocument/2006/relationships/hyperlink" Target="https://dblp.org/db/conf/asunam/index.html" TargetMode="External"/><Relationship Id="rId140" Type="http://schemas.openxmlformats.org/officeDocument/2006/relationships/hyperlink" Target="https://scholar.google.com.br/citations?hl=pt-BR&amp;view_op=list_hcore&amp;venue=71Q5CJZj-VYJ.2024" TargetMode="External"/><Relationship Id="rId5" Type="http://schemas.openxmlformats.org/officeDocument/2006/relationships/hyperlink" Target="https://scholar.google.com.br/citations?hl=pt-BR&amp;view_op=list_hcore&amp;venue=rDUVyYLeRdUJ.2024" TargetMode="External"/><Relationship Id="rId147" Type="http://schemas.openxmlformats.org/officeDocument/2006/relationships/hyperlink" Target="https://dblp.org/db/conf/emnlp/index.html" TargetMode="External"/><Relationship Id="rId6" Type="http://schemas.openxmlformats.org/officeDocument/2006/relationships/hyperlink" Target="https://dblp.org/db/conf/pods/index.html" TargetMode="External"/><Relationship Id="rId146" Type="http://schemas.openxmlformats.org/officeDocument/2006/relationships/hyperlink" Target="https://scholar.google.com.br/citations?hl=pt-BR&amp;view_op=list_hcore&amp;venue=LqrQjvOguiMJ.2024" TargetMode="External"/><Relationship Id="rId7" Type="http://schemas.openxmlformats.org/officeDocument/2006/relationships/hyperlink" Target="https://scholar.google.com.br/citations?hl=pt-BR&amp;view_op=list_hcore&amp;venue=HdCtgB7kxZAJ.2024" TargetMode="External"/><Relationship Id="rId145" Type="http://schemas.openxmlformats.org/officeDocument/2006/relationships/hyperlink" Target="https://sol.sbc.org.br/index.php/stil/issue/archive" TargetMode="External"/><Relationship Id="rId8" Type="http://schemas.openxmlformats.org/officeDocument/2006/relationships/hyperlink" Target="https://dblp.org/db/conf/icde/index.html" TargetMode="External"/><Relationship Id="rId144" Type="http://schemas.openxmlformats.org/officeDocument/2006/relationships/hyperlink" Target="https://dblp.org/db/conf/stil/index.html" TargetMode="External"/><Relationship Id="rId73" Type="http://schemas.openxmlformats.org/officeDocument/2006/relationships/hyperlink" Target="https://scholar.google.com.br/citations?hl=pt-BR&amp;view_op=list_hcore&amp;venue=A0l3VPFKwDYJ.2024" TargetMode="External"/><Relationship Id="rId72" Type="http://schemas.openxmlformats.org/officeDocument/2006/relationships/hyperlink" Target="https://dblp.org/db/conf/sdm/index.html" TargetMode="External"/><Relationship Id="rId75" Type="http://schemas.openxmlformats.org/officeDocument/2006/relationships/hyperlink" Target="https://scholar.google.com.br/citations?hl=pt-BR&amp;view_op=list_hcore&amp;venue=np9OvZCkWLIJ.2024" TargetMode="External"/><Relationship Id="rId74" Type="http://schemas.openxmlformats.org/officeDocument/2006/relationships/hyperlink" Target="https://dblp.org/db/conf/icdm/index.html" TargetMode="External"/><Relationship Id="rId77" Type="http://schemas.openxmlformats.org/officeDocument/2006/relationships/hyperlink" Target="https://scholar.google.com.br/citations?hl=pt-BR&amp;view_op=list_hcore&amp;venue=eH4qSzdbVtwJ.2024" TargetMode="External"/><Relationship Id="rId76" Type="http://schemas.openxmlformats.org/officeDocument/2006/relationships/hyperlink" Target="https://dblp.org/db/conf/ism/index.html" TargetMode="External"/><Relationship Id="rId79" Type="http://schemas.openxmlformats.org/officeDocument/2006/relationships/hyperlink" Target="https://scholar.google.com.br/citations?hl=pt-BR&amp;view_op=list_hcore&amp;venue=Gf4FWVmkfbwJ.2024" TargetMode="External"/><Relationship Id="rId78" Type="http://schemas.openxmlformats.org/officeDocument/2006/relationships/hyperlink" Target="https://dblp.org/db/conf/icwsm/index.html" TargetMode="External"/><Relationship Id="rId71" Type="http://schemas.openxmlformats.org/officeDocument/2006/relationships/hyperlink" Target="https://scholar.google.com.br/citations?hl=pt-BR&amp;view_op=list_hcore&amp;venue=eM05sD1nEv4J.2024" TargetMode="External"/><Relationship Id="rId70" Type="http://schemas.openxmlformats.org/officeDocument/2006/relationships/hyperlink" Target="https://dblp.org/db/conf/cbms/index.html" TargetMode="External"/><Relationship Id="rId139" Type="http://schemas.openxmlformats.org/officeDocument/2006/relationships/hyperlink" Target="https://dblp.org/db/conf/iri/index.html" TargetMode="External"/><Relationship Id="rId138" Type="http://schemas.openxmlformats.org/officeDocument/2006/relationships/hyperlink" Target="https://scholar.google.com.br/citations?hl=pt-BR&amp;view_op=list_hcore&amp;venue=Llhi-G0S554J.2024" TargetMode="External"/><Relationship Id="rId137" Type="http://schemas.openxmlformats.org/officeDocument/2006/relationships/hyperlink" Target="https://dblp.org/db/conf/dgo/index.html" TargetMode="External"/><Relationship Id="rId132" Type="http://schemas.openxmlformats.org/officeDocument/2006/relationships/hyperlink" Target="https://dblp.org/db/conf/chiir/index.html" TargetMode="External"/><Relationship Id="rId131" Type="http://schemas.openxmlformats.org/officeDocument/2006/relationships/hyperlink" Target="https://scholar.google.com.br/citations?hl=pt-BR&amp;view_op=list_hcore&amp;venue=quvsYu1EHS0J.2024" TargetMode="External"/><Relationship Id="rId130" Type="http://schemas.openxmlformats.org/officeDocument/2006/relationships/hyperlink" Target="https://dblp.org/db/conf/itsc/index.html" TargetMode="External"/><Relationship Id="rId136" Type="http://schemas.openxmlformats.org/officeDocument/2006/relationships/hyperlink" Target="https://scholar.google.com.br/citations?hl=pt-BR&amp;view_op=list_hcore&amp;venue=109OuuD55eYJ.2024" TargetMode="External"/><Relationship Id="rId135" Type="http://schemas.openxmlformats.org/officeDocument/2006/relationships/hyperlink" Target="https://dblp.org/db/conf/ictir/index.html" TargetMode="External"/><Relationship Id="rId134" Type="http://schemas.openxmlformats.org/officeDocument/2006/relationships/hyperlink" Target="https://scholar.google.com.br/citations?hl=pt-BR&amp;view_op=list_hcore&amp;venue=5XVjTHqnK0AJ.2024" TargetMode="External"/><Relationship Id="rId133" Type="http://schemas.openxmlformats.org/officeDocument/2006/relationships/hyperlink" Target="https://scholar.google.com.br/citations?hl=pt-BR&amp;view_op=list_hcore&amp;venue=UDGD1AtMr3UJ.2024" TargetMode="External"/><Relationship Id="rId62" Type="http://schemas.openxmlformats.org/officeDocument/2006/relationships/hyperlink" Target="https://scholar.google.com.br/citations?hl=pt-BR&amp;view_op=list_hcore&amp;venue=aNZ314HiR4YJ.2024" TargetMode="External"/><Relationship Id="rId61" Type="http://schemas.openxmlformats.org/officeDocument/2006/relationships/hyperlink" Target="https://dblp.org/db/conf/IEEEcloud/index.html" TargetMode="External"/><Relationship Id="rId64" Type="http://schemas.openxmlformats.org/officeDocument/2006/relationships/hyperlink" Target="https://scholar.google.com.br/citations?hl=pt-BR&amp;view_op=list_hcore&amp;venue=6RxgACAtCdcJ.2024" TargetMode="External"/><Relationship Id="rId63" Type="http://schemas.openxmlformats.org/officeDocument/2006/relationships/hyperlink" Target="https://dblp.org/db/conf/cloudcom/index.html" TargetMode="External"/><Relationship Id="rId66" Type="http://schemas.openxmlformats.org/officeDocument/2006/relationships/hyperlink" Target="https://dblp.org/db/conf/pts/index.html" TargetMode="External"/><Relationship Id="rId172" Type="http://schemas.openxmlformats.org/officeDocument/2006/relationships/hyperlink" Target="https://dblp.org/db/conf/ic3k/index.html" TargetMode="External"/><Relationship Id="rId65" Type="http://schemas.openxmlformats.org/officeDocument/2006/relationships/hyperlink" Target="https://dblp.org/db/conf/eScience/index.html" TargetMode="External"/><Relationship Id="rId171" Type="http://schemas.openxmlformats.org/officeDocument/2006/relationships/hyperlink" Target="https://scholar.google.com.br/citations?hl=pt-BR&amp;view_op=list_hcore&amp;venue=vt63wi0KkScJ.2024" TargetMode="External"/><Relationship Id="rId68" Type="http://schemas.openxmlformats.org/officeDocument/2006/relationships/hyperlink" Target="https://dblp.org/db/conf/sisap/index.html" TargetMode="External"/><Relationship Id="rId170" Type="http://schemas.openxmlformats.org/officeDocument/2006/relationships/hyperlink" Target="https://dblp.org/db/conf/fast/index.html" TargetMode="External"/><Relationship Id="rId67" Type="http://schemas.openxmlformats.org/officeDocument/2006/relationships/hyperlink" Target="https://scholar.google.com.br/citations?hl=pt-BR&amp;view_op=list_hcore&amp;venue=XdShTT6W3h0J.2024" TargetMode="External"/><Relationship Id="rId60" Type="http://schemas.openxmlformats.org/officeDocument/2006/relationships/hyperlink" Target="https://scholar.google.com.br/citations?hl=pt-BR&amp;view_op=list_hcore&amp;venue=ioohKoS5imcJ.2024" TargetMode="External"/><Relationship Id="rId165" Type="http://schemas.openxmlformats.org/officeDocument/2006/relationships/hyperlink" Target="https://scholar.google.com.br/citations?hl=pt-BR&amp;view_op=list_hcore&amp;venue=ZHdJbJwh40EJ.2024" TargetMode="External"/><Relationship Id="rId69" Type="http://schemas.openxmlformats.org/officeDocument/2006/relationships/hyperlink" Target="https://scholar.google.com.br/citations?hl=pt-BR&amp;view_op=list_hcore&amp;venue=cFvi1RZjX1gJ.2024" TargetMode="External"/><Relationship Id="rId164" Type="http://schemas.openxmlformats.org/officeDocument/2006/relationships/hyperlink" Target="https://dblp.org/db/conf/damon/index.html" TargetMode="External"/><Relationship Id="rId163" Type="http://schemas.openxmlformats.org/officeDocument/2006/relationships/hyperlink" Target="https://sol.sbc.org.br/index.php/csbc/issue/archive" TargetMode="External"/><Relationship Id="rId162" Type="http://schemas.openxmlformats.org/officeDocument/2006/relationships/hyperlink" Target="https://dblp.org/db/conf/clei/index.html" TargetMode="External"/><Relationship Id="rId169" Type="http://schemas.openxmlformats.org/officeDocument/2006/relationships/hyperlink" Target="https://scholar.google.com.br/citations?hl=pt-BR&amp;view_op=list_hcore&amp;venue=9iQfffNlIeAJ.2024" TargetMode="External"/><Relationship Id="rId168" Type="http://schemas.openxmlformats.org/officeDocument/2006/relationships/hyperlink" Target="https://dblp.org/db/conf/ejc/index.html" TargetMode="External"/><Relationship Id="rId167" Type="http://schemas.openxmlformats.org/officeDocument/2006/relationships/hyperlink" Target="https://scholar.google.com.br/citations?hl=pt-BR&amp;view_op=list_hcore&amp;venue=pgJ4wuBAmi8J.2024" TargetMode="External"/><Relationship Id="rId166" Type="http://schemas.openxmlformats.org/officeDocument/2006/relationships/hyperlink" Target="https://dblp.org/db/conf/dsaa/index.html" TargetMode="External"/><Relationship Id="rId51" Type="http://schemas.openxmlformats.org/officeDocument/2006/relationships/hyperlink" Target="https://dblp.org/db/conf/semweb/index.html" TargetMode="External"/><Relationship Id="rId50" Type="http://schemas.openxmlformats.org/officeDocument/2006/relationships/hyperlink" Target="https://scholar.google.com.br/citations?hl=pt-BR&amp;view_op=list_hcore&amp;venue=AETH84_wOIQJ.2024" TargetMode="External"/><Relationship Id="rId53" Type="http://schemas.openxmlformats.org/officeDocument/2006/relationships/hyperlink" Target="https://dblp.org/db/conf/ccgrid/index.html" TargetMode="External"/><Relationship Id="rId52" Type="http://schemas.openxmlformats.org/officeDocument/2006/relationships/hyperlink" Target="https://scholar.google.com.br/citations?hl=pt-BR&amp;view_op=list_hcore&amp;venue=_IeLSKDu4j0J.2024" TargetMode="External"/><Relationship Id="rId55" Type="http://schemas.openxmlformats.org/officeDocument/2006/relationships/hyperlink" Target="https://dblp.org/db/conf/gis/index.html" TargetMode="External"/><Relationship Id="rId161" Type="http://schemas.openxmlformats.org/officeDocument/2006/relationships/hyperlink" Target="https://scholar.google.com.br/citations?hl=pt-BR&amp;view_op=list_hcore&amp;venue=ThEGj_a76ZUJ.2024" TargetMode="External"/><Relationship Id="rId54" Type="http://schemas.openxmlformats.org/officeDocument/2006/relationships/hyperlink" Target="https://scholar.google.com.br/citations?hl=pt-BR&amp;view_op=list_hcore&amp;venue=OOX3mKRBpYMJ.2024" TargetMode="External"/><Relationship Id="rId160" Type="http://schemas.openxmlformats.org/officeDocument/2006/relationships/hyperlink" Target="https://dblp.org/db/conf/bigdataservice/index.html" TargetMode="External"/><Relationship Id="rId57" Type="http://schemas.openxmlformats.org/officeDocument/2006/relationships/hyperlink" Target="https://dblp.org/db/conf/ucc/index.html" TargetMode="External"/><Relationship Id="rId56" Type="http://schemas.openxmlformats.org/officeDocument/2006/relationships/hyperlink" Target="https://scholar.google.com.br/citations?hl=pt-BR&amp;view_op=list_hcore&amp;venue=gCzn4TRHFGQJ.2024" TargetMode="External"/><Relationship Id="rId159" Type="http://schemas.openxmlformats.org/officeDocument/2006/relationships/hyperlink" Target="https://scholar.google.com.br/citations?hl=pt-BR&amp;view_op=list_hcore&amp;venue=QNSmFsPl6awJ.2024" TargetMode="External"/><Relationship Id="rId59" Type="http://schemas.openxmlformats.org/officeDocument/2006/relationships/hyperlink" Target="https://dblp.org/db/conf/sac/index.html" TargetMode="External"/><Relationship Id="rId154" Type="http://schemas.openxmlformats.org/officeDocument/2006/relationships/hyperlink" Target="https://dblp.org/db/conf/adbis/adbis2023short.html" TargetMode="External"/><Relationship Id="rId58" Type="http://schemas.openxmlformats.org/officeDocument/2006/relationships/hyperlink" Target="https://scholar.google.com.br/citations?hl=pt-BR&amp;view_op=list_hcore&amp;venue=eLhWa3qzEDsJ.2024" TargetMode="External"/><Relationship Id="rId153" Type="http://schemas.openxmlformats.org/officeDocument/2006/relationships/hyperlink" Target="https://sol.sbc.org.br/index.php/bresci" TargetMode="External"/><Relationship Id="rId152" Type="http://schemas.openxmlformats.org/officeDocument/2006/relationships/hyperlink" Target="https://sol.sbc.org.br/index.php/dsw/issue/archive" TargetMode="External"/><Relationship Id="rId151" Type="http://schemas.openxmlformats.org/officeDocument/2006/relationships/hyperlink" Target="https://dblp.org/db/conf/seke/index.html" TargetMode="External"/><Relationship Id="rId158" Type="http://schemas.openxmlformats.org/officeDocument/2006/relationships/hyperlink" Target="https://dblp.org/db/conf/bigdatase/index.html" TargetMode="External"/><Relationship Id="rId157" Type="http://schemas.openxmlformats.org/officeDocument/2006/relationships/hyperlink" Target="https://dblp.org/db/conf/bdcloud/index.html" TargetMode="External"/><Relationship Id="rId156" Type="http://schemas.openxmlformats.org/officeDocument/2006/relationships/hyperlink" Target="https://scholar.google.com.br/citations?hl=pt-BR&amp;view_op=list_hcore&amp;venue=VsEvOEfP6b8J.2024" TargetMode="External"/><Relationship Id="rId155" Type="http://schemas.openxmlformats.org/officeDocument/2006/relationships/hyperlink" Target="https://dblp.org/db/conf/sofsem/index.html" TargetMode="External"/><Relationship Id="rId107" Type="http://schemas.openxmlformats.org/officeDocument/2006/relationships/hyperlink" Target="https://dblp.org/db/conf/icsoft/index.html" TargetMode="External"/><Relationship Id="rId106" Type="http://schemas.openxmlformats.org/officeDocument/2006/relationships/hyperlink" Target="https://scholar.google.com.br/citations?hl=pt-BR&amp;view_op=list_hcore&amp;venue=3zneIArE2G0J.2024" TargetMode="External"/><Relationship Id="rId105" Type="http://schemas.openxmlformats.org/officeDocument/2006/relationships/hyperlink" Target="https://dblp.org/db/conf/doceng/index.html" TargetMode="External"/><Relationship Id="rId104" Type="http://schemas.openxmlformats.org/officeDocument/2006/relationships/hyperlink" Target="https://scholar.google.com.br/citations?hl=pt-BR&amp;view_op=list_hcore&amp;venue=C6AfMlHpHa0J.2024" TargetMode="External"/><Relationship Id="rId109" Type="http://schemas.openxmlformats.org/officeDocument/2006/relationships/hyperlink" Target="https://scholar.google.com.br/citations?hl=pt-BR&amp;view_op=list_hcore&amp;venue=nypTAZp7Yo8J.2024" TargetMode="External"/><Relationship Id="rId108" Type="http://schemas.openxmlformats.org/officeDocument/2006/relationships/hyperlink" Target="https://dblp.org/db/conf/ssd/index.html" TargetMode="External"/><Relationship Id="rId103" Type="http://schemas.openxmlformats.org/officeDocument/2006/relationships/hyperlink" Target="https://dblp.org/db/conf/dolap/index.html" TargetMode="External"/><Relationship Id="rId102" Type="http://schemas.openxmlformats.org/officeDocument/2006/relationships/hyperlink" Target="https://dblp.org/db/conf/dawak/index.html" TargetMode="External"/><Relationship Id="rId101" Type="http://schemas.openxmlformats.org/officeDocument/2006/relationships/hyperlink" Target="https://scholar.google.com.br/citations?hl=pt-BR&amp;view_op=list_hcore&amp;venue=ZQqJjlSjnxAJ.2024" TargetMode="External"/><Relationship Id="rId100" Type="http://schemas.openxmlformats.org/officeDocument/2006/relationships/hyperlink" Target="https://dblp.org/db/conf/cidm/index.html" TargetMode="External"/><Relationship Id="rId129" Type="http://schemas.openxmlformats.org/officeDocument/2006/relationships/hyperlink" Target="https://dblp.org/db/conf/geoinfo/index.html" TargetMode="External"/><Relationship Id="rId128" Type="http://schemas.openxmlformats.org/officeDocument/2006/relationships/hyperlink" Target="https://scholar.google.com.br/citations?hl=pt-BR&amp;view_op=list_hcore&amp;venue=BQO9C9sz1x8J.2024" TargetMode="External"/><Relationship Id="rId127" Type="http://schemas.openxmlformats.org/officeDocument/2006/relationships/hyperlink" Target="https://dblp.org/db/conf/ipaw/index.html" TargetMode="External"/><Relationship Id="rId126" Type="http://schemas.openxmlformats.org/officeDocument/2006/relationships/hyperlink" Target="https://dblp.org/db/conf/apweb/index.html" TargetMode="External"/><Relationship Id="rId121" Type="http://schemas.openxmlformats.org/officeDocument/2006/relationships/hyperlink" Target="https://scholar.google.com.br/citations?hl=pt-BR&amp;view_op=list_hcore&amp;venue=K9DmX5xQU-YJ.2024" TargetMode="External"/><Relationship Id="rId120" Type="http://schemas.openxmlformats.org/officeDocument/2006/relationships/hyperlink" Target="https://dblp1.uni-trier.de/db/conf/kes/" TargetMode="External"/><Relationship Id="rId125" Type="http://schemas.openxmlformats.org/officeDocument/2006/relationships/hyperlink" Target="https://scholar.google.com.br/citations?hl=pt-BR&amp;view_op=list_hcore&amp;venue=tStpiOIoPUsJ.2024" TargetMode="External"/><Relationship Id="rId124" Type="http://schemas.openxmlformats.org/officeDocument/2006/relationships/hyperlink" Target="https://dblp.org/db/conf/cloud/index.html" TargetMode="External"/><Relationship Id="rId123" Type="http://schemas.openxmlformats.org/officeDocument/2006/relationships/hyperlink" Target="https://scholar.google.com.br/citations?hl=pt-BR&amp;view_op=list_hcore&amp;venue=o1durVJyeP4J.2024" TargetMode="External"/><Relationship Id="rId122" Type="http://schemas.openxmlformats.org/officeDocument/2006/relationships/hyperlink" Target="https://dblp.org/db/conf/wise/index.html" TargetMode="External"/><Relationship Id="rId95" Type="http://schemas.openxmlformats.org/officeDocument/2006/relationships/hyperlink" Target="https://scholar.google.com.br/citations?hl=pt-BR&amp;view_op=list_hcore&amp;venue=5qcbaE0D5owJ.2024" TargetMode="External"/><Relationship Id="rId94" Type="http://schemas.openxmlformats.org/officeDocument/2006/relationships/hyperlink" Target="https://dblp.org/db/conf/pakdd/index.html" TargetMode="External"/><Relationship Id="rId97" Type="http://schemas.openxmlformats.org/officeDocument/2006/relationships/hyperlink" Target="https://scholar.google.com/citations?hl=en&amp;view_op=list_hcore&amp;venue=SD0zxFP7qD4J.2018" TargetMode="External"/><Relationship Id="rId96" Type="http://schemas.openxmlformats.org/officeDocument/2006/relationships/hyperlink" Target="https://dblp.org/db/conf/bigdataconf/index.html" TargetMode="External"/><Relationship Id="rId99" Type="http://schemas.openxmlformats.org/officeDocument/2006/relationships/hyperlink" Target="https://scholar.google.com/citations?hl=en&amp;view_op=list_hcore&amp;venue=hX0wD_ieYvEJ.2018" TargetMode="External"/><Relationship Id="rId98" Type="http://schemas.openxmlformats.org/officeDocument/2006/relationships/hyperlink" Target="https://dblp.org/db/conf/amw/index.html" TargetMode="External"/><Relationship Id="rId91" Type="http://schemas.openxmlformats.org/officeDocument/2006/relationships/hyperlink" Target="https://scholar.google.com.br/citations?hl=pt-BR&amp;view_op=list_hcore&amp;venue=6AbX1YWluE4J.2024" TargetMode="External"/><Relationship Id="rId90" Type="http://schemas.openxmlformats.org/officeDocument/2006/relationships/hyperlink" Target="https://dblp.org/db/conf/ecml/index.html" TargetMode="External"/><Relationship Id="rId93" Type="http://schemas.openxmlformats.org/officeDocument/2006/relationships/hyperlink" Target="https://scholar.google.com.br/citations?hl=pt-BR&amp;view_op=list_hcore&amp;venue=I9UJ598p80sJ.2024" TargetMode="External"/><Relationship Id="rId92" Type="http://schemas.openxmlformats.org/officeDocument/2006/relationships/hyperlink" Target="https://dblp.org/db/conf/wsdm/index.html" TargetMode="External"/><Relationship Id="rId118" Type="http://schemas.openxmlformats.org/officeDocument/2006/relationships/hyperlink" Target="https://scholar.google.com.br/citations?hl=pt-BR&amp;view_op=list_hcore&amp;venue=02SGYBvIz80J.2024" TargetMode="External"/><Relationship Id="rId117" Type="http://schemas.openxmlformats.org/officeDocument/2006/relationships/hyperlink" Target="https://dblp.org/db/conf/coopis/index.html" TargetMode="External"/><Relationship Id="rId116" Type="http://schemas.openxmlformats.org/officeDocument/2006/relationships/hyperlink" Target="https://dblp.org/db/conf/caise/index.html" TargetMode="External"/><Relationship Id="rId115" Type="http://schemas.openxmlformats.org/officeDocument/2006/relationships/hyperlink" Target="https://scholar.google.com.br/citations?hl=pt-BR&amp;view_op=list_hcore&amp;venue=5PSS5xHm_KwJ.2024" TargetMode="External"/><Relationship Id="rId119" Type="http://schemas.openxmlformats.org/officeDocument/2006/relationships/hyperlink" Target="https://dblp.org/db/conf/ecir/index.html" TargetMode="External"/><Relationship Id="rId110" Type="http://schemas.openxmlformats.org/officeDocument/2006/relationships/hyperlink" Target="https://dblp.org/db/conf/mtsr/index.html" TargetMode="External"/><Relationship Id="rId114" Type="http://schemas.openxmlformats.org/officeDocument/2006/relationships/hyperlink" Target="https://dblp.org/db/conf/aina/index.html" TargetMode="External"/><Relationship Id="rId113" Type="http://schemas.openxmlformats.org/officeDocument/2006/relationships/hyperlink" Target="https://scholar.google.com.br/citations?hl=pt-BR&amp;view_op=list_hcore&amp;venue=FBp6ksxIdQYJ.2024" TargetMode="External"/><Relationship Id="rId112" Type="http://schemas.openxmlformats.org/officeDocument/2006/relationships/hyperlink" Target="https://dblp.org/db/conf/icis/index.html" TargetMode="External"/><Relationship Id="rId111" Type="http://schemas.openxmlformats.org/officeDocument/2006/relationships/hyperlink" Target="https://scholar.google.com.br/citations?hl=pt-BR&amp;view_op=list_hcore&amp;venue=hL4tvEz50McJ.2024" TargetMode="External"/></Relationships>
</file>

<file path=xl/worksheets/_rels/sheet3.xml.rels><?xml version="1.0" encoding="UTF-8" standalone="yes"?><Relationships xmlns="http://schemas.openxmlformats.org/package/2006/relationships"><Relationship Id="rId40" Type="http://schemas.openxmlformats.org/officeDocument/2006/relationships/hyperlink" Target="https://scholar.google.es/citations?hl=en&amp;view_op=list_hcore&amp;venue=DxPOk84pRIIJ.2024" TargetMode="External"/><Relationship Id="rId42" Type="http://schemas.openxmlformats.org/officeDocument/2006/relationships/hyperlink" Target="https://scholar.google.com/citations?hl=en&amp;view_op=list_hcore&amp;venue=LMgtaHBu8WIJ.2024" TargetMode="External"/><Relationship Id="rId41" Type="http://schemas.openxmlformats.org/officeDocument/2006/relationships/hyperlink" Target="https://dblp.org/db/conf/kdd/index.html" TargetMode="External"/><Relationship Id="rId44" Type="http://schemas.openxmlformats.org/officeDocument/2006/relationships/hyperlink" Target="https://scholar.google.es/citations?hl=en&amp;view_op=list_hcore&amp;venue=5qcbaE0D5owJ.2024" TargetMode="External"/><Relationship Id="rId43" Type="http://schemas.openxmlformats.org/officeDocument/2006/relationships/hyperlink" Target="https://dblp.org/db/conf/dac/index.html" TargetMode="External"/><Relationship Id="rId46" Type="http://schemas.openxmlformats.org/officeDocument/2006/relationships/hyperlink" Target="https://scholar.google.com.br/citations?hl=pt-BR&amp;view_op=list_hcore&amp;venue=V91jHpOGqs0J.2024" TargetMode="External"/><Relationship Id="rId45" Type="http://schemas.openxmlformats.org/officeDocument/2006/relationships/hyperlink" Target="https://dblp.org/db/conf/bigdata/index.html" TargetMode="External"/><Relationship Id="rId106" Type="http://schemas.openxmlformats.org/officeDocument/2006/relationships/drawing" Target="../drawings/drawing3.xml"/><Relationship Id="rId105" Type="http://schemas.openxmlformats.org/officeDocument/2006/relationships/hyperlink" Target="https://dblp.org/db/conf/ispdc/index.html" TargetMode="External"/><Relationship Id="rId104" Type="http://schemas.openxmlformats.org/officeDocument/2006/relationships/hyperlink" Target="https://scholar.google.com.br/citations?hl=en&amp;view_op=list_hcore&amp;venue=BZK2l1JW2UsJ.2024" TargetMode="External"/><Relationship Id="rId48" Type="http://schemas.openxmlformats.org/officeDocument/2006/relationships/hyperlink" Target="https://scholar.google.com/citations?hl=en&amp;view_op=list_hcore&amp;venue=X39h_ye2QL4J.2024" TargetMode="External"/><Relationship Id="rId47" Type="http://schemas.openxmlformats.org/officeDocument/2006/relationships/hyperlink" Target="https://dblp.org/db/conf/iscas/index.html" TargetMode="External"/><Relationship Id="rId49" Type="http://schemas.openxmlformats.org/officeDocument/2006/relationships/hyperlink" Target="https://scholar.google.com.br/citations?hl=pt-BR&amp;view_op=list_hcore&amp;venue=7JfwVbgjkZUJ.2024" TargetMode="External"/><Relationship Id="rId103" Type="http://schemas.openxmlformats.org/officeDocument/2006/relationships/hyperlink" Target="https://dblp.org/db/conf/cse/index.html" TargetMode="External"/><Relationship Id="rId102" Type="http://schemas.openxmlformats.org/officeDocument/2006/relationships/hyperlink" Target="https://scholar.google.com.br/citations?hl=en&amp;view_op=list_hcore&amp;venue=V3s-huB8LYEJ.2024" TargetMode="External"/><Relationship Id="rId101" Type="http://schemas.openxmlformats.org/officeDocument/2006/relationships/hyperlink" Target="https://dblp.org/db/conf/iccS/index.html" TargetMode="External"/><Relationship Id="rId100" Type="http://schemas.openxmlformats.org/officeDocument/2006/relationships/hyperlink" Target="https://dblp.org/db/conf/ppam/index.html" TargetMode="External"/><Relationship Id="rId31" Type="http://schemas.openxmlformats.org/officeDocument/2006/relationships/hyperlink" Target="https://dblp.org/db/conf/pdp/index.html" TargetMode="External"/><Relationship Id="rId30" Type="http://schemas.openxmlformats.org/officeDocument/2006/relationships/hyperlink" Target="https://scholar.google.com.br/citations?hl=pt-BR&amp;view_op=list_hcore&amp;venue=YhI5DwI2n2gJ.2024" TargetMode="External"/><Relationship Id="rId33" Type="http://schemas.openxmlformats.org/officeDocument/2006/relationships/hyperlink" Target="https://dblp.org/db/conf/europar/index.html" TargetMode="External"/><Relationship Id="rId32" Type="http://schemas.openxmlformats.org/officeDocument/2006/relationships/hyperlink" Target="https://scholar.google.com.br/citations?hl=en&amp;view_op=list_hcore&amp;venue=tOMY2Y_aVTMJ.2024" TargetMode="External"/><Relationship Id="rId35" Type="http://schemas.openxmlformats.org/officeDocument/2006/relationships/hyperlink" Target="https://dblp.org/db/conf/isw/index.html" TargetMode="External"/><Relationship Id="rId34" Type="http://schemas.openxmlformats.org/officeDocument/2006/relationships/hyperlink" Target="https://scholar.google.com/citations?hl=en&amp;view_op=list_hcore&amp;venue=Vnq3DIsft2YJ.2024" TargetMode="External"/><Relationship Id="rId37" Type="http://schemas.openxmlformats.org/officeDocument/2006/relationships/hyperlink" Target="https://dblp.org/db/conf/hpcc/index.html" TargetMode="External"/><Relationship Id="rId36" Type="http://schemas.openxmlformats.org/officeDocument/2006/relationships/hyperlink" Target="https://scholar.google.com/citations?hl=en&amp;view_op=list_hcore&amp;venue=5z01YqRLwlYJ.2024" TargetMode="External"/><Relationship Id="rId39" Type="http://schemas.openxmlformats.org/officeDocument/2006/relationships/hyperlink" Target="https://dblp.org/db/conf/hipc/index.html" TargetMode="External"/><Relationship Id="rId38" Type="http://schemas.openxmlformats.org/officeDocument/2006/relationships/hyperlink" Target="https://scholar.google.com.br/citations?hl=en&amp;view_op=list_hcore&amp;venue=rjLGlFQoqI8J.2018" TargetMode="External"/><Relationship Id="rId20" Type="http://schemas.openxmlformats.org/officeDocument/2006/relationships/hyperlink" Target="https://scholar.google.com.br/citations?hl=en&amp;view_op=list_hcore&amp;venue=MZeKedZe-5YJ.2024" TargetMode="External"/><Relationship Id="rId22" Type="http://schemas.openxmlformats.org/officeDocument/2006/relationships/hyperlink" Target="https://scholar.google.com.br/citations?hl=en&amp;view_op=list_hcore&amp;venue=OLgTDUKI5wUJ.2024" TargetMode="External"/><Relationship Id="rId21" Type="http://schemas.openxmlformats.org/officeDocument/2006/relationships/hyperlink" Target="https://sol.sbc.org.br/index.php/wscad" TargetMode="External"/><Relationship Id="rId24" Type="http://schemas.openxmlformats.org/officeDocument/2006/relationships/hyperlink" Target="https://scholar.google.com.br/citations?hl=en&amp;view_op=list_hcore&amp;venue=VcBBCUw4gmMJ.2024" TargetMode="External"/><Relationship Id="rId23" Type="http://schemas.openxmlformats.org/officeDocument/2006/relationships/hyperlink" Target="https://dblp.org/db/conf/IEEEpact/index.html" TargetMode="External"/><Relationship Id="rId26" Type="http://schemas.openxmlformats.org/officeDocument/2006/relationships/hyperlink" Target="https://scholar.google.com.br/citations?hl=en&amp;view_op=list_hcore&amp;venue=3tXj5_VxBMkJ.2024" TargetMode="External"/><Relationship Id="rId25" Type="http://schemas.openxmlformats.org/officeDocument/2006/relationships/hyperlink" Target="https://dblp.org/db/conf/hpdc/index.html" TargetMode="External"/><Relationship Id="rId28" Type="http://schemas.openxmlformats.org/officeDocument/2006/relationships/hyperlink" Target="https://scholar.google.com/citations?hl=en&amp;view_op=list_hcore&amp;venue=siTGI384Pw4J.2024" TargetMode="External"/><Relationship Id="rId27" Type="http://schemas.openxmlformats.org/officeDocument/2006/relationships/hyperlink" Target="https://dblp.org/db/conf/ics/index.html" TargetMode="External"/><Relationship Id="rId29" Type="http://schemas.openxmlformats.org/officeDocument/2006/relationships/hyperlink" Target="https://dblp.org/db/conf/spaa/index.html" TargetMode="External"/><Relationship Id="rId95" Type="http://schemas.openxmlformats.org/officeDocument/2006/relationships/hyperlink" Target="https://dblp.org/db/conf/mcsoc/index.html" TargetMode="External"/><Relationship Id="rId94" Type="http://schemas.openxmlformats.org/officeDocument/2006/relationships/hyperlink" Target="https://scholar.google.com/citations?hl=en&amp;view_op=list_hcore&amp;venue=cNDfl82p1FwJ.2024" TargetMode="External"/><Relationship Id="rId97" Type="http://schemas.openxmlformats.org/officeDocument/2006/relationships/hyperlink" Target="https://dblp.org/db/conf/sbesc/index.html" TargetMode="External"/><Relationship Id="rId96" Type="http://schemas.openxmlformats.org/officeDocument/2006/relationships/hyperlink" Target="https://scholar.google.com/citations?hl=en&amp;view_op=list_hcore&amp;venue=EA9qTFRFeoUJ.2024" TargetMode="External"/><Relationship Id="rId11" Type="http://schemas.openxmlformats.org/officeDocument/2006/relationships/hyperlink" Target="https://scholar.google.com/citations?hl=pt-BR&amp;view_op=list_hcore&amp;venue=UpKDzfQ1ak8J.2024" TargetMode="External"/><Relationship Id="rId99" Type="http://schemas.openxmlformats.org/officeDocument/2006/relationships/hyperlink" Target="https://scholar.google.com.br/citations?hl=en&amp;view_op=list_hcore&amp;venue=7NHJcpYeTeYJ.2024" TargetMode="External"/><Relationship Id="rId10" Type="http://schemas.openxmlformats.org/officeDocument/2006/relationships/hyperlink" Target="https://dblp.org/db/conf/sc/index.html" TargetMode="External"/><Relationship Id="rId98" Type="http://schemas.openxmlformats.org/officeDocument/2006/relationships/hyperlink" Target="https://dblp.org/db/conf/ppsc/index.html" TargetMode="External"/><Relationship Id="rId13" Type="http://schemas.openxmlformats.org/officeDocument/2006/relationships/hyperlink" Target="https://scholar.google.com.br/citations?hl=en&amp;view_op=list_hcore&amp;venue=_IeLSKDu4j0J.2024" TargetMode="External"/><Relationship Id="rId12" Type="http://schemas.openxmlformats.org/officeDocument/2006/relationships/hyperlink" Target="https://dblp.org/db/conf/micro/index.html" TargetMode="External"/><Relationship Id="rId91" Type="http://schemas.openxmlformats.org/officeDocument/2006/relationships/hyperlink" Target="https://dblp.org/db/conf/pdcat/index.html" TargetMode="External"/><Relationship Id="rId90" Type="http://schemas.openxmlformats.org/officeDocument/2006/relationships/hyperlink" Target="https://scholar.google.com.br/citations?hl=pt-BR&amp;view_op=list_hcore&amp;venue=BZK2l1JW2UsJ.2018" TargetMode="External"/><Relationship Id="rId93" Type="http://schemas.openxmlformats.org/officeDocument/2006/relationships/hyperlink" Target="https://dblp.org/db/conf/ddecs/index.html" TargetMode="External"/><Relationship Id="rId92" Type="http://schemas.openxmlformats.org/officeDocument/2006/relationships/hyperlink" Target="https://scholar.google.com.br/citations?hl=pt-BR&amp;view_op=list_hcore&amp;venue=7-_qFtHfavIJ.2024" TargetMode="External"/><Relationship Id="rId15" Type="http://schemas.openxmlformats.org/officeDocument/2006/relationships/hyperlink" Target="https://scholar.google.com.br/citations?hl=en&amp;view_op=list_hcore&amp;venue=JDUQTRUV4EYJ.2024" TargetMode="External"/><Relationship Id="rId14" Type="http://schemas.openxmlformats.org/officeDocument/2006/relationships/hyperlink" Target="https://dblp.org/db/conf/ccgrid/index.html" TargetMode="External"/><Relationship Id="rId17" Type="http://schemas.openxmlformats.org/officeDocument/2006/relationships/hyperlink" Target="https://scholar.google.com.br/citations?hl=en&amp;view_op=list_hcore&amp;venue=xujU2BmpDawJ.2024" TargetMode="External"/><Relationship Id="rId16" Type="http://schemas.openxmlformats.org/officeDocument/2006/relationships/hyperlink" Target="https://dblp.org/db/conf/ppopp/index.html" TargetMode="External"/><Relationship Id="rId19" Type="http://schemas.openxmlformats.org/officeDocument/2006/relationships/hyperlink" Target="https://sol.sbc.org.br/index.php/sbac-pad/issue/archive" TargetMode="External"/><Relationship Id="rId18" Type="http://schemas.openxmlformats.org/officeDocument/2006/relationships/hyperlink" Target="https://dblp.org/db/conf/sbac-pad/index.html" TargetMode="External"/><Relationship Id="rId84" Type="http://schemas.openxmlformats.org/officeDocument/2006/relationships/hyperlink" Target="https://scholar.google.com.br/citations?hl=pt-BR&amp;view_op=list_hcore&amp;venue=kYDZP1q0-MAJ.2024" TargetMode="External"/><Relationship Id="rId83" Type="http://schemas.openxmlformats.org/officeDocument/2006/relationships/hyperlink" Target="https://dblp.org/db/conf/vlsi/index.html" TargetMode="External"/><Relationship Id="rId86" Type="http://schemas.openxmlformats.org/officeDocument/2006/relationships/hyperlink" Target="https://scholar.google.com/citations?hl=en&amp;view_op=list_hcore&amp;venue=z8sUAB07Au0J.2018" TargetMode="External"/><Relationship Id="rId85" Type="http://schemas.openxmlformats.org/officeDocument/2006/relationships/hyperlink" Target="https://dblp.org/db/conf/wetice/index.html" TargetMode="External"/><Relationship Id="rId88" Type="http://schemas.openxmlformats.org/officeDocument/2006/relationships/hyperlink" Target="https://scholar.google.com/citations?hl=en&amp;view_op=list_hcore&amp;venue=-JLYUDNfBVUJ.2024" TargetMode="External"/><Relationship Id="rId87" Type="http://schemas.openxmlformats.org/officeDocument/2006/relationships/hyperlink" Target="https://dblp.org/db/conf/recosoc/index.html" TargetMode="External"/><Relationship Id="rId89" Type="http://schemas.openxmlformats.org/officeDocument/2006/relationships/hyperlink" Target="https://dblp.org/db/conf/socc/index.html" TargetMode="External"/><Relationship Id="rId80" Type="http://schemas.openxmlformats.org/officeDocument/2006/relationships/hyperlink" Target="https://scholar.google.com.br/citations?hl=pt-BR&amp;view_op=list_hcore&amp;venue=0iDRKaj8G38J.2024" TargetMode="External"/><Relationship Id="rId82" Type="http://schemas.openxmlformats.org/officeDocument/2006/relationships/hyperlink" Target="https://scholar.google.com/citations?hl=en&amp;view_op=list_hcore&amp;venue=0lu0mPyqVXAJ.2024" TargetMode="External"/><Relationship Id="rId81" Type="http://schemas.openxmlformats.org/officeDocument/2006/relationships/hyperlink" Target="https://dblp.org/db/conf/arcs/index.html" TargetMode="External"/><Relationship Id="rId1" Type="http://schemas.openxmlformats.org/officeDocument/2006/relationships/hyperlink" Target="https://scholar.google.com.br/citations?hl=en&amp;view_op=list_hcore&amp;venue=-RiAttlQ-g0J.2024" TargetMode="External"/><Relationship Id="rId2" Type="http://schemas.openxmlformats.org/officeDocument/2006/relationships/hyperlink" Target="https://dblp.org/db/conf/isca/index.html" TargetMode="External"/><Relationship Id="rId3" Type="http://schemas.openxmlformats.org/officeDocument/2006/relationships/hyperlink" Target="https://scholar.google.com/citations?hl=pt-BR&amp;view_op=list_hcore&amp;venue=oRj0q6yVVdsJ.2024" TargetMode="External"/><Relationship Id="rId4" Type="http://schemas.openxmlformats.org/officeDocument/2006/relationships/hyperlink" Target="https://dblp.org/db/conf/hpca/index.html" TargetMode="External"/><Relationship Id="rId9" Type="http://schemas.openxmlformats.org/officeDocument/2006/relationships/hyperlink" Target="https://scholar.google.com/citations?hl=pt-BR&amp;view_op=list_hcore&amp;venue=s_dKfSWgBmwJ.2024" TargetMode="External"/><Relationship Id="rId5" Type="http://schemas.openxmlformats.org/officeDocument/2006/relationships/hyperlink" Target="https://scholar.google.com/citations?hl=pt-BR&amp;view_op=list_hcore&amp;venue=KlkFB9T8yJEJ.2024" TargetMode="External"/><Relationship Id="rId6" Type="http://schemas.openxmlformats.org/officeDocument/2006/relationships/hyperlink" Target="https://dblp.org/db/conf/asplos/index.html" TargetMode="External"/><Relationship Id="rId7" Type="http://schemas.openxmlformats.org/officeDocument/2006/relationships/hyperlink" Target="https://scholar.google.com/citations?hl=pt-BR&amp;view_op=list_hcore&amp;venue=Cge5_JoKLicJ.2024" TargetMode="External"/><Relationship Id="rId8" Type="http://schemas.openxmlformats.org/officeDocument/2006/relationships/hyperlink" Target="https://dblp.org/db/conf/ipps/index.html" TargetMode="External"/><Relationship Id="rId73" Type="http://schemas.openxmlformats.org/officeDocument/2006/relationships/hyperlink" Target="https://dblp.org/db/conf/icpads/index.html" TargetMode="External"/><Relationship Id="rId72" Type="http://schemas.openxmlformats.org/officeDocument/2006/relationships/hyperlink" Target="https://scholar.google.com.br/citations?hl=pt-BR&amp;view_op=list_hcore&amp;venue=J2WvLRIhE6UJ.2024" TargetMode="External"/><Relationship Id="rId75" Type="http://schemas.openxmlformats.org/officeDocument/2006/relationships/hyperlink" Target="https://dblp.org/db/conf/icecsys/index.html" TargetMode="External"/><Relationship Id="rId74" Type="http://schemas.openxmlformats.org/officeDocument/2006/relationships/hyperlink" Target="https://scholar.google.com.br/citations?hl=pt-BR&amp;view_op=list_hcore&amp;venue=9Io6PPD79ysJ.2024" TargetMode="External"/><Relationship Id="rId77" Type="http://schemas.openxmlformats.org/officeDocument/2006/relationships/hyperlink" Target="https://dblp.org/db/conf/pact/index.html" TargetMode="External"/><Relationship Id="rId76" Type="http://schemas.openxmlformats.org/officeDocument/2006/relationships/hyperlink" Target="https://scholar.google.com.br/citations?hl=pt-BR&amp;view_op=list_hcore&amp;venue=rAbNW5NaTSIJ.2018" TargetMode="External"/><Relationship Id="rId79" Type="http://schemas.openxmlformats.org/officeDocument/2006/relationships/hyperlink" Target="https://dblp.org/db/conf/pvm/index.html" TargetMode="External"/><Relationship Id="rId78" Type="http://schemas.openxmlformats.org/officeDocument/2006/relationships/hyperlink" Target="https://scholar.google.com/citations?hl=en&amp;view_op=list_hcore&amp;venue=eVYF6giBmnoJ.2018" TargetMode="External"/><Relationship Id="rId71" Type="http://schemas.openxmlformats.org/officeDocument/2006/relationships/hyperlink" Target="https://dblp.org/db/conf/cases/index.html" TargetMode="External"/><Relationship Id="rId70" Type="http://schemas.openxmlformats.org/officeDocument/2006/relationships/hyperlink" Target="https://scholar.google.com/citations?hl=en&amp;view_op=list_hcore&amp;venue=TEhiaki8604J.2018" TargetMode="External"/><Relationship Id="rId62" Type="http://schemas.openxmlformats.org/officeDocument/2006/relationships/hyperlink" Target="https://scholar.google.com.br/citations?hl=pt-BR&amp;view_op=list_hcore&amp;venue=BegUMfxqGy4J.2024" TargetMode="External"/><Relationship Id="rId61" Type="http://schemas.openxmlformats.org/officeDocument/2006/relationships/hyperlink" Target="https://dblp.org/db/conf/cloudcom/index.html" TargetMode="External"/><Relationship Id="rId64" Type="http://schemas.openxmlformats.org/officeDocument/2006/relationships/hyperlink" Target="https://scholar.google.com.br/citations?hl=pt-BR&amp;view_op=list_hcore&amp;venue=42wcJhr2yF0J.2024" TargetMode="External"/><Relationship Id="rId63" Type="http://schemas.openxmlformats.org/officeDocument/2006/relationships/hyperlink" Target="https://dblp.org/db/conf/ieeehpcs/index.html" TargetMode="External"/><Relationship Id="rId66" Type="http://schemas.openxmlformats.org/officeDocument/2006/relationships/hyperlink" Target="https://scholar.google.com.br/citations?hl=pt-BR&amp;view_op=list_hcore&amp;venue=kqnJhx6rIkYJ.2018" TargetMode="External"/><Relationship Id="rId65" Type="http://schemas.openxmlformats.org/officeDocument/2006/relationships/hyperlink" Target="https://dblp.org/db/conf/dsd/index.html" TargetMode="External"/><Relationship Id="rId68" Type="http://schemas.openxmlformats.org/officeDocument/2006/relationships/hyperlink" Target="https://scholar.google.com.br/citations?hl=en&amp;view_op=list_hcore&amp;venue=8awDgn_OhGYJ.2024" TargetMode="External"/><Relationship Id="rId67" Type="http://schemas.openxmlformats.org/officeDocument/2006/relationships/hyperlink" Target="https://dblp.org/db/conf/nocs/index.html" TargetMode="External"/><Relationship Id="rId60" Type="http://schemas.openxmlformats.org/officeDocument/2006/relationships/hyperlink" Target="https://scholar.google.com.br/citations?hl=pt-BR&amp;view_op=list_hcore&amp;venue=aNZ314HiR4YJ.2024" TargetMode="External"/><Relationship Id="rId69" Type="http://schemas.openxmlformats.org/officeDocument/2006/relationships/hyperlink" Target="https://dblp.org/db/conf/asap/index.html" TargetMode="External"/><Relationship Id="rId51" Type="http://schemas.openxmlformats.org/officeDocument/2006/relationships/hyperlink" Target="https://dblp.org/db/conf/iiswc/index.html" TargetMode="External"/><Relationship Id="rId50" Type="http://schemas.openxmlformats.org/officeDocument/2006/relationships/hyperlink" Target="https://scholar.google.com.br/citations?hl=pt-BR&amp;view_op=list_hcore&amp;venue=4qd95Riz9Y4J.2024" TargetMode="External"/><Relationship Id="rId53" Type="http://schemas.openxmlformats.org/officeDocument/2006/relationships/hyperlink" Target="https://dblp.org/db/conf/ucc/index.html" TargetMode="External"/><Relationship Id="rId52" Type="http://schemas.openxmlformats.org/officeDocument/2006/relationships/hyperlink" Target="https://scholar.google.com.br/citations?hl=pt-BR&amp;view_op=list_hcore&amp;venue=gCzn4TRHFGQJ.2024" TargetMode="External"/><Relationship Id="rId55" Type="http://schemas.openxmlformats.org/officeDocument/2006/relationships/hyperlink" Target="https://dblp.org/db/conf/cluster/index.html" TargetMode="External"/><Relationship Id="rId54" Type="http://schemas.openxmlformats.org/officeDocument/2006/relationships/hyperlink" Target="https://scholar.google.com.br/citations?hl=en&amp;view_op=list_hcore&amp;venue=55hG19HkCfUJ.2024" TargetMode="External"/><Relationship Id="rId57" Type="http://schemas.openxmlformats.org/officeDocument/2006/relationships/hyperlink" Target="https://dblp.org/db/conf/iscc/index.html" TargetMode="External"/><Relationship Id="rId56" Type="http://schemas.openxmlformats.org/officeDocument/2006/relationships/hyperlink" Target="https://scholar.google.com.br/citations?hl=pt-BR&amp;view_op=list_hcore&amp;venue=0jK8bHjCH68J.2024" TargetMode="External"/><Relationship Id="rId59" Type="http://schemas.openxmlformats.org/officeDocument/2006/relationships/hyperlink" Target="https://dblp.org/db/conf/closer/index.html" TargetMode="External"/><Relationship Id="rId58" Type="http://schemas.openxmlformats.org/officeDocument/2006/relationships/hyperlink" Target="https://scholar.google.com.br/citations?hl=en&amp;view_op=list_hcore&amp;venue=hltkuBaF_uEJ.2024" TargetMode="External"/></Relationships>
</file>

<file path=xl/worksheets/_rels/sheet30.xml.rels><?xml version="1.0" encoding="UTF-8" standalone="yes"?><Relationships xmlns="http://schemas.openxmlformats.org/package/2006/relationships"><Relationship Id="rId40" Type="http://schemas.openxmlformats.org/officeDocument/2006/relationships/hyperlink" Target="https://sol.sbc.org.br/index.php/wbl" TargetMode="External"/><Relationship Id="rId41" Type="http://schemas.openxmlformats.org/officeDocument/2006/relationships/drawing" Target="../drawings/drawing30.xml"/><Relationship Id="rId31" Type="http://schemas.openxmlformats.org/officeDocument/2006/relationships/hyperlink" Target="https://scholar.google.com.br/citations?hl=en&amp;view_op=list_hcore&amp;venue=b7Wt8oz6uqAJ.2020" TargetMode="External"/><Relationship Id="rId30" Type="http://schemas.openxmlformats.org/officeDocument/2006/relationships/hyperlink" Target="https://dblp.org/db/conf/esop/index" TargetMode="External"/><Relationship Id="rId33" Type="http://schemas.openxmlformats.org/officeDocument/2006/relationships/hyperlink" Target="https://scholar.google.com/scholar?hl=pt-BR&amp;as_sdt=0%2C5&amp;as_ylo=2020&amp;q=source%3AACM+source%3ASIGPLAN+source%3AInternational+source%3AConference+source%3Aon+source%3AFunctional+source%3AProgramming&amp;btnG=" TargetMode="External"/><Relationship Id="rId32" Type="http://schemas.openxmlformats.org/officeDocument/2006/relationships/hyperlink" Target="https://dblp.org/db/conf/mfcs/index.html" TargetMode="External"/><Relationship Id="rId35" Type="http://schemas.openxmlformats.org/officeDocument/2006/relationships/hyperlink" Target="https://scholar.google.com/scholar?hl=pt-BR&amp;as_sdt=0%2C5&amp;as_ylo=2020&amp;q=source%3AInternational+source%3ASymposium+source%3Aon+source%3AFunctional+source%3Aand+source%3ALogic+source%3AProgramming&amp;btnG=" TargetMode="External"/><Relationship Id="rId34" Type="http://schemas.openxmlformats.org/officeDocument/2006/relationships/hyperlink" Target="https://dblp.org/db/conf/icfp/index" TargetMode="External"/><Relationship Id="rId37" Type="http://schemas.openxmlformats.org/officeDocument/2006/relationships/hyperlink" Target="https://scholar.google.com/scholar?hl=pt-BR&amp;as_sdt=0%2C5&amp;as_ylo=2020&amp;q=source%3AInternational+source%3AJoint+source%3AConference+source%3Aon+source%3AAutomated+source%3AReasoning&amp;btnG=" TargetMode="External"/><Relationship Id="rId36" Type="http://schemas.openxmlformats.org/officeDocument/2006/relationships/hyperlink" Target="https://dblp.org/db/conf/flops/index" TargetMode="External"/><Relationship Id="rId39" Type="http://schemas.openxmlformats.org/officeDocument/2006/relationships/hyperlink" Target="https://scholar.google.com/scholar?hl=pt-BR&amp;as_sdt=0%2C5&amp;as_ylo=2020&amp;q=source%3AWorkshop+source%3ABrasileiro+source%3Ade+source%3AL%C3%B3gica&amp;btnG=" TargetMode="External"/><Relationship Id="rId38" Type="http://schemas.openxmlformats.org/officeDocument/2006/relationships/hyperlink" Target="https://dblp.org/db/conf/ijcar/index" TargetMode="External"/><Relationship Id="rId20" Type="http://schemas.openxmlformats.org/officeDocument/2006/relationships/hyperlink" Target="https://dblp.org/db/conf/ictac/index.html" TargetMode="External"/><Relationship Id="rId22" Type="http://schemas.openxmlformats.org/officeDocument/2006/relationships/hyperlink" Target="https://dblp.org/db/journals/lmcs/index" TargetMode="External"/><Relationship Id="rId21" Type="http://schemas.openxmlformats.org/officeDocument/2006/relationships/hyperlink" Target="https://scholar.google.com.br/citations?hl=en&amp;vq=eng_theoreticalcomputerscience&amp;view_op=list_hcore&amp;venue=uMkIEwVx22wJ.2024" TargetMode="External"/><Relationship Id="rId24" Type="http://schemas.openxmlformats.org/officeDocument/2006/relationships/hyperlink" Target="https://dblp.org/db/conf/sat/index" TargetMode="External"/><Relationship Id="rId23" Type="http://schemas.openxmlformats.org/officeDocument/2006/relationships/hyperlink" Target="https://scholar.google.com/citations?hl=en&amp;view_op=list_hcore&amp;venue=Ydp6NbVxpcEJ.2020" TargetMode="External"/><Relationship Id="rId26" Type="http://schemas.openxmlformats.org/officeDocument/2006/relationships/hyperlink" Target="https://dblp.org/db/conf/aiml/index" TargetMode="External"/><Relationship Id="rId25" Type="http://schemas.openxmlformats.org/officeDocument/2006/relationships/hyperlink" Target="https://scholar.google.com/scholar?hl=pt-BR&amp;as_sdt=0%2C5&amp;as_ylo=2020&amp;q=source%3AAIML&amp;btnG=" TargetMode="External"/><Relationship Id="rId28" Type="http://schemas.openxmlformats.org/officeDocument/2006/relationships/hyperlink" Target="https://dblp.org/db/conf/frocos/index" TargetMode="External"/><Relationship Id="rId27" Type="http://schemas.openxmlformats.org/officeDocument/2006/relationships/hyperlink" Target="https://scholar.google.com/scholar?hl=pt-BR&amp;as_sdt=0%2C5&amp;as_ylo=2020&amp;q=source%3AInternational+source%3ASymposium+source%3Aon+source%3AFrontiers+source%3Aof+source%3ACombining+source%3ASystems&amp;btnG=" TargetMode="External"/><Relationship Id="rId29" Type="http://schemas.openxmlformats.org/officeDocument/2006/relationships/hyperlink" Target="https://scholar.google.com.br/citations?hl=en&amp;view_op=list_hcore&amp;venue=UtpXAOWmk9EJ.2020" TargetMode="External"/><Relationship Id="rId11" Type="http://schemas.openxmlformats.org/officeDocument/2006/relationships/hyperlink" Target="https://scholar.google.com/scholar?hl=pt-BR&amp;as_sdt=0%2C5&amp;as_ylo=2020&amp;q=source%3AInternational+source%3AConference+source%3Aon+source%3AFormal+source%3AStructures+source%3Afor+source%3AComputation+source%3Aand+source%3ADeduction&amp;btnG=" TargetMode="External"/><Relationship Id="rId10" Type="http://schemas.openxmlformats.org/officeDocument/2006/relationships/hyperlink" Target="https://dblp.org/db/conf/tableaux/index" TargetMode="External"/><Relationship Id="rId13" Type="http://schemas.openxmlformats.org/officeDocument/2006/relationships/hyperlink" Target="https://scholar.google.com.br/citations?hl=en&amp;view_op=list_hcore&amp;venue=-_yucm7AqqAJ.2024" TargetMode="External"/><Relationship Id="rId12" Type="http://schemas.openxmlformats.org/officeDocument/2006/relationships/hyperlink" Target="https://dblp.org/db/conf/fscd/index" TargetMode="External"/><Relationship Id="rId15" Type="http://schemas.openxmlformats.org/officeDocument/2006/relationships/hyperlink" Target="https://scholar.google.com/scholar?hl=pt-BR&amp;as_sdt=0%2C5&amp;as_ylo=2020&amp;q=source%3AInternational+source%3AConference+source%3Aon+source%3ALogic+source%3AProgramming&amp;btnG=" TargetMode="External"/><Relationship Id="rId14" Type="http://schemas.openxmlformats.org/officeDocument/2006/relationships/hyperlink" Target="https://dblp.org/db/conf/wollic/index" TargetMode="External"/><Relationship Id="rId17" Type="http://schemas.openxmlformats.org/officeDocument/2006/relationships/hyperlink" Target="https://scholar.google.com/scholar?hl=pt-BR&amp;as_sdt=0%2C5&amp;as_ylo=2020&amp;q=source%3ASOFSEM&amp;btnG=&amp;oq=source%3A+SOFSEM" TargetMode="External"/><Relationship Id="rId16" Type="http://schemas.openxmlformats.org/officeDocument/2006/relationships/hyperlink" Target="https://dblp.org/db/conf/iclp/index.html" TargetMode="External"/><Relationship Id="rId19" Type="http://schemas.openxmlformats.org/officeDocument/2006/relationships/hyperlink" Target="https://scholar.google.com.br/citations?hl=en&amp;view_op=list_hcore&amp;venue=foujqxJmEBEJ.2020" TargetMode="External"/><Relationship Id="rId18" Type="http://schemas.openxmlformats.org/officeDocument/2006/relationships/hyperlink" Target="https://dblp.org/db/conf/sofsem/index.html" TargetMode="External"/><Relationship Id="rId1" Type="http://schemas.openxmlformats.org/officeDocument/2006/relationships/hyperlink" Target="https://scholar.google.com.br/citations?hl=en&amp;vq=eng_theoreticalcomputerscience&amp;view_op=list_hcore&amp;venue=5mWbSIB9be8J.2020" TargetMode="External"/><Relationship Id="rId2" Type="http://schemas.openxmlformats.org/officeDocument/2006/relationships/hyperlink" Target="https://dblp.org/db/conf/lics/index" TargetMode="External"/><Relationship Id="rId3" Type="http://schemas.openxmlformats.org/officeDocument/2006/relationships/hyperlink" Target="https://scholar.google.com.br/citations?hl=en&amp;view_op=list_hcore&amp;venue=xfuNJ8sxOdEJ.2020" TargetMode="External"/><Relationship Id="rId4" Type="http://schemas.openxmlformats.org/officeDocument/2006/relationships/hyperlink" Target="https://dblp.org/db/conf/csl/index" TargetMode="External"/><Relationship Id="rId9" Type="http://schemas.openxmlformats.org/officeDocument/2006/relationships/hyperlink" Target="https://scholar.google.com/scholar?hl=pt-BR&amp;as_sdt=0%2C5&amp;as_ylo=2020&amp;q=source%3ATABLEAUX&amp;btnG=" TargetMode="External"/><Relationship Id="rId5" Type="http://schemas.openxmlformats.org/officeDocument/2006/relationships/hyperlink" Target="https://scholar.google.com/scholar?hl=pt-BR&amp;as_sdt=0%2C5&amp;as_ylo=2020&amp;q=source%3ASemantic+source%3AFrameworks+source%3Awith+source%3AApplications&amp;btnG=" TargetMode="External"/><Relationship Id="rId6" Type="http://schemas.openxmlformats.org/officeDocument/2006/relationships/hyperlink" Target="https://dblp.org/db/conf/lsfa/index" TargetMode="External"/><Relationship Id="rId7" Type="http://schemas.openxmlformats.org/officeDocument/2006/relationships/hyperlink" Target="https://scholar.google.com.br/citations?hl=en&amp;view_op=list_hcore&amp;venue=q-MXMv7GdwAJ.2020" TargetMode="External"/><Relationship Id="rId8" Type="http://schemas.openxmlformats.org/officeDocument/2006/relationships/hyperlink" Target="https://dblp.org/db/conf/fossacs/index" TargetMode="External"/></Relationships>
</file>

<file path=xl/worksheets/_rels/sheet31.xml.rels><?xml version="1.0" encoding="UTF-8" standalone="yes"?><Relationships xmlns="http://schemas.openxmlformats.org/package/2006/relationships"><Relationship Id="rId30" Type="http://schemas.openxmlformats.org/officeDocument/2006/relationships/drawing" Target="../drawings/drawing31.xml"/><Relationship Id="rId20" Type="http://schemas.openxmlformats.org/officeDocument/2006/relationships/hyperlink" Target="https://sol.sbc.org.br/index.php/educomp" TargetMode="External"/><Relationship Id="rId22" Type="http://schemas.openxmlformats.org/officeDocument/2006/relationships/hyperlink" Target="https://dblp.org/db/conf/csedu/index.html" TargetMode="External"/><Relationship Id="rId21" Type="http://schemas.openxmlformats.org/officeDocument/2006/relationships/hyperlink" Target="https://scholar.google.com/citations?hl=en&amp;view_op=list_hcore&amp;venue=nzz9FASca4MJ.2024" TargetMode="External"/><Relationship Id="rId24" Type="http://schemas.openxmlformats.org/officeDocument/2006/relationships/hyperlink" Target="https://dblp.org/db/conf/icse/index.html" TargetMode="External"/><Relationship Id="rId23" Type="http://schemas.openxmlformats.org/officeDocument/2006/relationships/hyperlink" Target="https://scholar.google.com/citations?hl=en&amp;view_op=list_hcore&amp;venue=yIZ19I9U66oJ.2024" TargetMode="External"/><Relationship Id="rId26" Type="http://schemas.openxmlformats.org/officeDocument/2006/relationships/hyperlink" Target="https://dblp.org/db/conf/ace/index.html" TargetMode="External"/><Relationship Id="rId25" Type="http://schemas.openxmlformats.org/officeDocument/2006/relationships/hyperlink" Target="https://scholar.google.com/citations?hl=en&amp;view_op=list_hcore&amp;venue=6Ym19ArjjigJ.2024" TargetMode="External"/><Relationship Id="rId28" Type="http://schemas.openxmlformats.org/officeDocument/2006/relationships/hyperlink" Target="https://scholar.google.com/citations?hl=en&amp;view_op=list_hcore&amp;venue=muJqO5o5bdUJ.2024" TargetMode="External"/><Relationship Id="rId27" Type="http://schemas.openxmlformats.org/officeDocument/2006/relationships/hyperlink" Target="https://scholar.google.com/citations?hl=en&amp;view_op=list_hcore&amp;venue=yIZ19I9U66oJ.2024" TargetMode="External"/><Relationship Id="rId29" Type="http://schemas.openxmlformats.org/officeDocument/2006/relationships/hyperlink" Target="https://scholar.google.com/citations?hl=en&amp;view_op=list_hcore&amp;venue=3rl1k7wWXvsJ.2024" TargetMode="External"/><Relationship Id="rId11" Type="http://schemas.openxmlformats.org/officeDocument/2006/relationships/hyperlink" Target="https://scholar.google.com/citations?hl=en&amp;view_op=list_hcore&amp;venue=G1RhimMOm2wJ.2024" TargetMode="External"/><Relationship Id="rId10" Type="http://schemas.openxmlformats.org/officeDocument/2006/relationships/hyperlink" Target="https://dblp.org/db/conf/educon/index.html" TargetMode="External"/><Relationship Id="rId13" Type="http://schemas.openxmlformats.org/officeDocument/2006/relationships/hyperlink" Target="https://scholar.google.com/citations?hl=en&amp;view_op=list_hcore&amp;venue=_PA-cm4C5M8J.2024" TargetMode="External"/><Relationship Id="rId12" Type="http://schemas.openxmlformats.org/officeDocument/2006/relationships/hyperlink" Target="https://dblp.org/db/conf/fie/index.html" TargetMode="External"/><Relationship Id="rId15" Type="http://schemas.openxmlformats.org/officeDocument/2006/relationships/hyperlink" Target="https://scholar.google.com/citations?hl=en&amp;view_op=list_hcore&amp;venue=-eLSF6KffKgJ.2024" TargetMode="External"/><Relationship Id="rId14" Type="http://schemas.openxmlformats.org/officeDocument/2006/relationships/hyperlink" Target="https://dblp.org/db/conf/wipsce/index.html" TargetMode="External"/><Relationship Id="rId17" Type="http://schemas.openxmlformats.org/officeDocument/2006/relationships/hyperlink" Target="https://scholar.google.com/citations?hl=en&amp;view_op=list_hcore&amp;venue=DMcB-6XAVukJ.2024" TargetMode="External"/><Relationship Id="rId16" Type="http://schemas.openxmlformats.org/officeDocument/2006/relationships/hyperlink" Target="https://sol.sbc.org.br/index.php/wei" TargetMode="External"/><Relationship Id="rId19" Type="http://schemas.openxmlformats.org/officeDocument/2006/relationships/hyperlink" Target="https://scholar.google.com/citations?hl=en&amp;view_op=list_hcore&amp;venue=9d69RZLoOs8J.2024" TargetMode="External"/><Relationship Id="rId18" Type="http://schemas.openxmlformats.org/officeDocument/2006/relationships/hyperlink" Target="https://sol.sbc.org.br/index.php/sbie" TargetMode="External"/><Relationship Id="rId1" Type="http://schemas.openxmlformats.org/officeDocument/2006/relationships/hyperlink" Target="https://scholar.google.com/citations?hl=en&amp;view_op=list_hcore&amp;venue=v0xCU4OEvKUJ.2024" TargetMode="External"/><Relationship Id="rId2" Type="http://schemas.openxmlformats.org/officeDocument/2006/relationships/hyperlink" Target="https://dblp.org/db/conf/icer/index.html" TargetMode="External"/><Relationship Id="rId3" Type="http://schemas.openxmlformats.org/officeDocument/2006/relationships/hyperlink" Target="https://scholar.google.com/citations?hl=en&amp;view_op=list_hcore&amp;venue=rrlriATuz7wJ.2024" TargetMode="External"/><Relationship Id="rId4" Type="http://schemas.openxmlformats.org/officeDocument/2006/relationships/hyperlink" Target="https://dblp.org/db/conf/sigcse/index.html" TargetMode="External"/><Relationship Id="rId9" Type="http://schemas.openxmlformats.org/officeDocument/2006/relationships/hyperlink" Target="https://scholar.google.com/citations?hl=en&amp;view_op=list_hcore&amp;venue=oWx0DwbR58MJ.2024" TargetMode="External"/><Relationship Id="rId5" Type="http://schemas.openxmlformats.org/officeDocument/2006/relationships/hyperlink" Target="https://scholar.google.com/citations?hl=en&amp;view_op=list_hcore&amp;venue=68UDAZLIQo8J.2024" TargetMode="External"/><Relationship Id="rId6" Type="http://schemas.openxmlformats.org/officeDocument/2006/relationships/hyperlink" Target="https://dblp.org/db/conf/iticse/index.html" TargetMode="External"/><Relationship Id="rId7" Type="http://schemas.openxmlformats.org/officeDocument/2006/relationships/hyperlink" Target="https://scholar.google.com/citations?hl=en&amp;view_op=list_hcore&amp;venue=S2ws2k7Clq8J.2024" TargetMode="External"/><Relationship Id="rId8" Type="http://schemas.openxmlformats.org/officeDocument/2006/relationships/hyperlink" Target="https://dblp.org/db/conf/kolicalling/index.html" TargetMode="External"/></Relationships>
</file>

<file path=xl/worksheets/_rels/sheet32.xml.rels><?xml version="1.0" encoding="UTF-8" standalone="yes"?><Relationships xmlns="http://schemas.openxmlformats.org/package/2006/relationships"><Relationship Id="rId40" Type="http://schemas.openxmlformats.org/officeDocument/2006/relationships/hyperlink" Target="https://sol.sbc.org.br/index.php/mssis/issue/archive" TargetMode="External"/><Relationship Id="rId42" Type="http://schemas.openxmlformats.org/officeDocument/2006/relationships/hyperlink" Target="https://sol.sbc.org.br/index.php/opensciense/issue/archive" TargetMode="External"/><Relationship Id="rId41" Type="http://schemas.openxmlformats.org/officeDocument/2006/relationships/hyperlink" Target="https://scholar.google.com.br/scholar?as_q=&amp;as_epq=&amp;as_oq=&amp;as_eq=&amp;as_occt=any&amp;as_sauthors=&amp;as_publication=Workshop+em+Modelagem+e+Simula%C3%A7%C3%A3o+de+Sistemas+Intensivos+em+Software&amp;as_ylo=2019&amp;as_yhi=2023&amp;hl=pt-BR&amp;as_sdt=0%2C5" TargetMode="External"/><Relationship Id="rId44" Type="http://schemas.openxmlformats.org/officeDocument/2006/relationships/hyperlink" Target="https://sol.sbc.org.br/index.php/safelife/issue/archive" TargetMode="External"/><Relationship Id="rId43" Type="http://schemas.openxmlformats.org/officeDocument/2006/relationships/hyperlink" Target="https://scholar.google.com.br/scholar?as_q=&amp;as_epq=&amp;as_oq=&amp;as_eq=&amp;as_occt=any&amp;as_sauthors=&amp;as_publication=Workshop+de+Pr%C3%A1ticas+de+Ci%C3%AAncia+Aberta+para+Engenharia+de+Software&amp;as_ylo=2019&amp;as_yhi=2023&amp;hl=pt-BR&amp;as_sdt=0%2C5" TargetMode="External"/><Relationship Id="rId46" Type="http://schemas.openxmlformats.org/officeDocument/2006/relationships/hyperlink" Target="https://scholar.google.com.br/scholar?as_q=&amp;as_epq=&amp;as_oq=&amp;as_eq=&amp;as_occt=any&amp;as_sauthors=&amp;as_publication=Brazilian+Symposium+on+Systematic+and+Automated+Software+Testing&amp;as_ylo=2019&amp;as_yhi=2023&amp;hl=pt-BR&amp;as_sdt=0%2C5" TargetMode="External"/><Relationship Id="rId45" Type="http://schemas.openxmlformats.org/officeDocument/2006/relationships/hyperlink" Target="https://sol.sbc.org.br/index.php/sast" TargetMode="External"/><Relationship Id="rId48" Type="http://schemas.openxmlformats.org/officeDocument/2006/relationships/hyperlink" Target="https://scholar.google.com.br/citations?hl=pt-BR&amp;view_op=list_hcore&amp;venue=xujU2BmpDawJ.2024" TargetMode="External"/><Relationship Id="rId47" Type="http://schemas.openxmlformats.org/officeDocument/2006/relationships/hyperlink" Target="https://sol.sbc.org.br/index.php/sbac-pad/issue/archive" TargetMode="External"/><Relationship Id="rId49" Type="http://schemas.openxmlformats.org/officeDocument/2006/relationships/hyperlink" Target="https://sol.sbc.org.br/index.php/sbbd" TargetMode="External"/><Relationship Id="rId31" Type="http://schemas.openxmlformats.org/officeDocument/2006/relationships/hyperlink" Target="https://scholar.google.com.br/citations?hl=pt-BR&amp;view_op=list_hcore&amp;venue=YC7yoNYrtdAJ.2024" TargetMode="External"/><Relationship Id="rId30" Type="http://schemas.openxmlformats.org/officeDocument/2006/relationships/hyperlink" Target="https://sol.sbc.org.br/index.php/ihc" TargetMode="External"/><Relationship Id="rId33" Type="http://schemas.openxmlformats.org/officeDocument/2006/relationships/hyperlink" Target="https://scholar.google.com.br/scholar?as_q=&amp;as_epq=&amp;as_oq=&amp;as_eq=&amp;as_occt=any&amp;as_sauthors=&amp;as_publication=Workshop+Brasileiro+de+Engenharia+de+Software+Inteligente&amp;as_ylo=2019&amp;as_yhi=2023&amp;hl=pt-BR&amp;as_sdt=0%2C5" TargetMode="External"/><Relationship Id="rId32" Type="http://schemas.openxmlformats.org/officeDocument/2006/relationships/hyperlink" Target="https://sol.sbc.org.br/index.php/ise/issue/archive" TargetMode="External"/><Relationship Id="rId35" Type="http://schemas.openxmlformats.org/officeDocument/2006/relationships/hyperlink" Target="https://scholar.google.com.br/scholar?as_q=&amp;as_epq=&amp;as_oq=&amp;as_eq=&amp;as_occt=any&amp;as_sauthors=&amp;as_publication=Symposium+on+Knowledge+Discovery%2C+Mining+and+Learning&amp;as_ylo=2019&amp;as_yhi=2023&amp;hl=pt-BR&amp;as_sdt=0%2C5" TargetMode="External"/><Relationship Id="rId34" Type="http://schemas.openxmlformats.org/officeDocument/2006/relationships/hyperlink" Target="https://sol.sbc.org.br/index.php/kdmile/issue/archive" TargetMode="External"/><Relationship Id="rId37" Type="http://schemas.openxmlformats.org/officeDocument/2006/relationships/hyperlink" Target="https://scholar.google.com.br/citations?hl=pt-BR&amp;view_op=list_hcore&amp;venue=Uge8gmLMz5wJ.2024" TargetMode="External"/><Relationship Id="rId36" Type="http://schemas.openxmlformats.org/officeDocument/2006/relationships/hyperlink" Target="https://sol.sbc.org.br/index.php/ladc" TargetMode="External"/><Relationship Id="rId39" Type="http://schemas.openxmlformats.org/officeDocument/2006/relationships/hyperlink" Target="https://scholar.google.com.br/scholar?as_q=&amp;as_epq=&amp;as_oq=&amp;as_eq=&amp;as_occt=any&amp;as_sauthors=&amp;as_publication=Latin+American+Robotics+Symposium&amp;as_ylo=2019&amp;as_yhi=2023&amp;hl=pt-BR&amp;as_sdt=0%2C5" TargetMode="External"/><Relationship Id="rId38" Type="http://schemas.openxmlformats.org/officeDocument/2006/relationships/hyperlink" Target="https://sol.sbc.org.br/index.php/sbrlars" TargetMode="External"/><Relationship Id="rId20" Type="http://schemas.openxmlformats.org/officeDocument/2006/relationships/hyperlink" Target="https://sol.sbc.org.br/index.php/dsw/issue/archive" TargetMode="External"/><Relationship Id="rId22" Type="http://schemas.openxmlformats.org/officeDocument/2006/relationships/hyperlink" Target="https://sol.sbc.org.br/index.php/educomp" TargetMode="External"/><Relationship Id="rId21" Type="http://schemas.openxmlformats.org/officeDocument/2006/relationships/hyperlink" Target="https://scholar.google.com.br/scholar?as_q=&amp;as_epq=&amp;as_oq=&amp;as_eq=&amp;as_occt=any&amp;as_sauthors=&amp;as_publication=Dataset+Showcase+Workshop&amp;as_ylo=2019&amp;as_yhi=2023&amp;hl=pt-BR&amp;as_sdt=0%2C5" TargetMode="External"/><Relationship Id="rId24" Type="http://schemas.openxmlformats.org/officeDocument/2006/relationships/hyperlink" Target="https://sol.sbc.org.br/index.php/encompif" TargetMode="External"/><Relationship Id="rId23" Type="http://schemas.openxmlformats.org/officeDocument/2006/relationships/hyperlink" Target="https://scholar.google.com.br/citations?hl=pt-BR&amp;view_op=list_hcore&amp;venue=9d69RZLoOs8J.2024" TargetMode="External"/><Relationship Id="rId26" Type="http://schemas.openxmlformats.org/officeDocument/2006/relationships/hyperlink" Target="https://sol.sbc.org.br/index.php/eniac" TargetMode="External"/><Relationship Id="rId25" Type="http://schemas.openxmlformats.org/officeDocument/2006/relationships/hyperlink" Target="https://scholar.google.com.br/scholar?as_q=&amp;as_epq=&amp;as_oq=&amp;as_eq=&amp;as_occt=any&amp;as_sauthors=&amp;as_publication=Encontro+Nacional+de+Computa%C3%A7%C3%A3o+dos+Institutos+Federais&amp;as_ylo=2019&amp;as_yhi=2023&amp;hl=pt-BR&amp;as_sdt=0%2C5" TargetMode="External"/><Relationship Id="rId28" Type="http://schemas.openxmlformats.org/officeDocument/2006/relationships/hyperlink" Target="https://sol.sbc.org.br/index.php/etc" TargetMode="External"/><Relationship Id="rId27" Type="http://schemas.openxmlformats.org/officeDocument/2006/relationships/hyperlink" Target="https://scholar.google.com/citations?hl=en&amp;view_op=list_hcore&amp;venue=DoEKONL9f1YJ.2024" TargetMode="External"/><Relationship Id="rId29" Type="http://schemas.openxmlformats.org/officeDocument/2006/relationships/hyperlink" Target="https://scholar.google.com/citations?hl=en&amp;view_op=list_hcore&amp;venue=S-FAvH1rAgcJ.2024" TargetMode="External"/><Relationship Id="rId11" Type="http://schemas.openxmlformats.org/officeDocument/2006/relationships/hyperlink" Target="https://sol.sbc.org.br/index.php/bware/issue/archive" TargetMode="External"/><Relationship Id="rId10" Type="http://schemas.openxmlformats.org/officeDocument/2006/relationships/hyperlink" Target="https://scholar.google.com.br/scholar?as_q=&amp;as_epq=&amp;as_oq=&amp;as_eq=&amp;as_occt=any&amp;as_sauthors=&amp;as_publication=Brazilian+Workshop+on+Artificial+Intelligence+in+Finance&amp;as_ylo=2019&amp;as_yhi=2023&amp;hl=pt-BR&amp;as_sdt=0%2C5" TargetMode="External"/><Relationship Id="rId13" Type="http://schemas.openxmlformats.org/officeDocument/2006/relationships/hyperlink" Target="https://sol.sbc.org.br/index.php/capaihc/issue/archive" TargetMode="External"/><Relationship Id="rId12" Type="http://schemas.openxmlformats.org/officeDocument/2006/relationships/hyperlink" Target="https://scholar.google.com/scholar?as_q=&amp;as_epq=&amp;as_oq=&amp;as_eq=&amp;as_occt=any&amp;as_sauthors=&amp;as_publication=Brazilian+Workshop+on+Large-scale+Critical+Systems+&amp;as_ylo=2019&amp;as_yhi=2023&amp;hl=pt-BR&amp;as_sdt=0%2C5" TargetMode="External"/><Relationship Id="rId15" Type="http://schemas.openxmlformats.org/officeDocument/2006/relationships/hyperlink" Target="https://sol.sbc.org.br/index.php/cblockchain" TargetMode="External"/><Relationship Id="rId14" Type="http://schemas.openxmlformats.org/officeDocument/2006/relationships/hyperlink" Target="https://scholar.google.com/scholar?as_q=&amp;as_epq=&amp;as_oq=&amp;as_eq=&amp;as_occt=any&amp;as_sauthors=&amp;as_publication=Workshop+em+Culturas%2C+Alteridades+e+Participa%C3%A7%C3%B5es+em+IHC&amp;as_ylo=2019&amp;as_yhi=2023&amp;hl=pt-BR&amp;as_sdt=0%2C5" TargetMode="External"/><Relationship Id="rId17" Type="http://schemas.openxmlformats.org/officeDocument/2006/relationships/hyperlink" Target="https://sol.sbc.org.br/index.php/courb/issue/archive" TargetMode="External"/><Relationship Id="rId16" Type="http://schemas.openxmlformats.org/officeDocument/2006/relationships/hyperlink" Target="https://scholar.google.com/scholar?as_q=&amp;as_epq=&amp;as_oq=&amp;as_eq=&amp;as_occt=any&amp;as_sauthors=&amp;as_publication=Col%C3%B3quio+em+Blockchain+e+Web+Descentralizada&amp;as_ylo=2019&amp;as_yhi=2023&amp;hl=pt-BR&amp;as_sdt=0%2C5" TargetMode="External"/><Relationship Id="rId19" Type="http://schemas.openxmlformats.org/officeDocument/2006/relationships/hyperlink" Target="https://sol.sbc.org.br/index.php/desafie" TargetMode="External"/><Relationship Id="rId18" Type="http://schemas.openxmlformats.org/officeDocument/2006/relationships/hyperlink" Target="https://scholar.google.com.br/scholar?as_q=&amp;as_epq=&amp;as_oq=&amp;as_eq=&amp;as_occt=any&amp;as_sauthors=&amp;as_publication=Workshop+de+Computa%C3%A7%C3%A3o+Urbana&amp;as_ylo=2019&amp;as_yhi=2023&amp;hl=pt-BR&amp;as_sdt=0%2C5" TargetMode="External"/><Relationship Id="rId84" Type="http://schemas.openxmlformats.org/officeDocument/2006/relationships/hyperlink" Target="https://sol.sbc.org.br/index.php/sbsi" TargetMode="External"/><Relationship Id="rId83" Type="http://schemas.openxmlformats.org/officeDocument/2006/relationships/hyperlink" Target="https://scholar.google.com.br/citations?hl=pt-BR&amp;view_op=list_hcore&amp;venue=Dsyl66B8iM0J.2024" TargetMode="External"/><Relationship Id="rId86" Type="http://schemas.openxmlformats.org/officeDocument/2006/relationships/hyperlink" Target="https://sol.sbc.org.br/index.php/semish" TargetMode="External"/><Relationship Id="rId85" Type="http://schemas.openxmlformats.org/officeDocument/2006/relationships/hyperlink" Target="https://scholar.google.com.br/citations?hl=pt-BR&amp;view_op=list_hcore&amp;venue=Uj60OIiJKkQJ.2024" TargetMode="External"/><Relationship Id="rId88" Type="http://schemas.openxmlformats.org/officeDocument/2006/relationships/hyperlink" Target="https://sol.sbc.org.br/index.php/sibgrapi" TargetMode="External"/><Relationship Id="rId150" Type="http://schemas.openxmlformats.org/officeDocument/2006/relationships/hyperlink" Target="https://scholar.google.com.br/scholar?as_q=&amp;as_epq=&amp;as_oq=&amp;as_eq=&amp;as_occt=any&amp;as_sauthors=&amp;as_publication=Workshop+de+Regula%C3%A7%C3%A3o%2C+Avalia%C3%A7%C3%A3o+da+Conformidade+e+Certifica%C3%A7%C3%A3o+de+Seguran%C3%A7a&amp;as_ylo=2019&amp;as_yhi=2023&amp;hl=pt-BR&amp;as_sdt=0%2C5" TargetMode="External"/><Relationship Id="rId87" Type="http://schemas.openxmlformats.org/officeDocument/2006/relationships/hyperlink" Target="https://scholar.google.com.br/scholar?as_q=&amp;as_epq=&amp;as_oq=&amp;as_eq=&amp;as_occt=any&amp;as_sauthors=&amp;as_publication=Semin%C3%A1rio+Integrado+de+Software+e+Hardware&amp;as_ylo=&amp;as_yhi=&amp;hl=pt-BR&amp;as_sdt=0%2C5" TargetMode="External"/><Relationship Id="rId89" Type="http://schemas.openxmlformats.org/officeDocument/2006/relationships/hyperlink" Target="https://scholar.google.com.br/citations?hl=pt-BR&amp;view_op=list_hcore&amp;venue=sPLlun2OWTwJ.2024" TargetMode="External"/><Relationship Id="rId80" Type="http://schemas.openxmlformats.org/officeDocument/2006/relationships/hyperlink" Target="https://sol.sbc.org.br/index.php/sbsc" TargetMode="External"/><Relationship Id="rId82" Type="http://schemas.openxmlformats.org/officeDocument/2006/relationships/hyperlink" Target="https://sol.sbc.org.br/index.php/sbseg" TargetMode="External"/><Relationship Id="rId81" Type="http://schemas.openxmlformats.org/officeDocument/2006/relationships/hyperlink" Target="https://scholar.google.com.br/scholar?as_q=&amp;as_epq=&amp;as_oq=&amp;as_eq=&amp;as_occt=any&amp;as_sauthors=&amp;as_publication=Simp%C3%B3sio+Brasileiro+de+Sistemas+Colaborativos&amp;as_ylo=2019&amp;as_yhi=2023&amp;hl=pt-BR&amp;as_sdt=0%2C5" TargetMode="External"/><Relationship Id="rId1" Type="http://schemas.openxmlformats.org/officeDocument/2006/relationships/hyperlink" Target="https://sol.sbc.org.br/index.php/bracis" TargetMode="External"/><Relationship Id="rId2" Type="http://schemas.openxmlformats.org/officeDocument/2006/relationships/hyperlink" Target="https://scholar.google.com.br/citations?hl=pt-BR&amp;view_op=list_hcore&amp;venue=qXwIadFVNCsJ.2024" TargetMode="External"/><Relationship Id="rId3" Type="http://schemas.openxmlformats.org/officeDocument/2006/relationships/hyperlink" Target="https://sol.sbc.org.br/index.php/brasnam" TargetMode="External"/><Relationship Id="rId149" Type="http://schemas.openxmlformats.org/officeDocument/2006/relationships/hyperlink" Target="https://sol.sbc.org.br/index.php/wrac/issue/archive" TargetMode="External"/><Relationship Id="rId4" Type="http://schemas.openxmlformats.org/officeDocument/2006/relationships/hyperlink" Target="https://scholar.google.com.br/citations?hl=pt-BR&amp;view_op=list_hcore&amp;venue=uCHdYLLURp0J.2024" TargetMode="External"/><Relationship Id="rId148" Type="http://schemas.openxmlformats.org/officeDocument/2006/relationships/hyperlink" Target="https://scholar.google.com.br/scholar?as_q=&amp;as_epq=&amp;as_oq=&amp;as_eq=&amp;as_occt=any&amp;as_sauthors=&amp;as_publication=Workshop+de+Comunica%C3%A7%C3%A3o+e+Computa%C3%A7%C3%A3o+Qu%C3%A2ntica&amp;as_ylo=2019&amp;as_yhi=2023&amp;hl=pt-BR&amp;as_sdt=0%2C5" TargetMode="External"/><Relationship Id="rId9" Type="http://schemas.openxmlformats.org/officeDocument/2006/relationships/hyperlink" Target="https://sol.sbc.org.br/index.php/bwaif" TargetMode="External"/><Relationship Id="rId143" Type="http://schemas.openxmlformats.org/officeDocument/2006/relationships/hyperlink" Target="https://scholar.google.com.br/scholar?as_q=&amp;as_epq=&amp;as_oq=&amp;as_eq=&amp;as_occt=any&amp;as_sauthors=&amp;as_publication=Workshop+em+Desempenho+de+Sistemas+Computacionais+e+de+Comunica%C3%A7%C3%A3o&amp;as_ylo=2019&amp;as_yhi=2023&amp;hl=pt-BR&amp;as_sdt=0%2C5" TargetMode="External"/><Relationship Id="rId142" Type="http://schemas.openxmlformats.org/officeDocument/2006/relationships/hyperlink" Target="https://sol.sbc.org.br/index.php/wperformance" TargetMode="External"/><Relationship Id="rId141" Type="http://schemas.openxmlformats.org/officeDocument/2006/relationships/hyperlink" Target="https://scholar.google.com.br/scholar?as_q=&amp;as_epq=&amp;as_oq=&amp;as_eq=&amp;as_occt=any&amp;as_sauthors=&amp;as_publication=Workshop+de+Pesquisa+Experimental+da+Internet+do+Futuro&amp;as_ylo=2019&amp;as_yhi=2023&amp;hl=pt-BR&amp;as_sdt=0%2C5" TargetMode="External"/><Relationship Id="rId140" Type="http://schemas.openxmlformats.org/officeDocument/2006/relationships/hyperlink" Target="https://sol.sbc.org.br/index.php/wpeif/issue/archive" TargetMode="External"/><Relationship Id="rId5" Type="http://schemas.openxmlformats.org/officeDocument/2006/relationships/hyperlink" Target="https://sol.sbc.org.br/index.php/bresci" TargetMode="External"/><Relationship Id="rId147" Type="http://schemas.openxmlformats.org/officeDocument/2006/relationships/hyperlink" Target="https://sol.sbc.org.br/index.php/wquantum/issue/archive" TargetMode="External"/><Relationship Id="rId6" Type="http://schemas.openxmlformats.org/officeDocument/2006/relationships/hyperlink" Target="https://scholar.google.com.br/scholar?as_q=&amp;as_epq=&amp;as_oq=&amp;as_eq=&amp;as_occt=any&amp;as_sauthors=&amp;as_publication=Brazilian+e-Science+Workshop&amp;as_ylo=2019&amp;as_yhi=2023&amp;hl=pt-BR&amp;as_sdt=0%2C5" TargetMode="External"/><Relationship Id="rId146" Type="http://schemas.openxmlformats.org/officeDocument/2006/relationships/hyperlink" Target="https://scholar.google.com.br/scholar?as_q=&amp;as_epq=&amp;as_oq=&amp;as_eq=&amp;as_occt=any&amp;as_sauthors=&amp;as_publication=Workshop+Pr%C3%A9-IETF&amp;as_ylo=2019&amp;as_yhi=2023&amp;hl=pt-BR&amp;as_sdt=0%2C5" TargetMode="External"/><Relationship Id="rId7" Type="http://schemas.openxmlformats.org/officeDocument/2006/relationships/hyperlink" Target="https://sol.sbc.org.br/index.php/bsb" TargetMode="External"/><Relationship Id="rId145" Type="http://schemas.openxmlformats.org/officeDocument/2006/relationships/hyperlink" Target="https://sol.sbc.org.br/index.php/wpietf/issue/archive" TargetMode="External"/><Relationship Id="rId8" Type="http://schemas.openxmlformats.org/officeDocument/2006/relationships/hyperlink" Target="https://scholar.google.com.br/scholar?as_q=&amp;as_epq=&amp;as_oq=&amp;as_eq=&amp;as_occt=any&amp;as_sauthors=&amp;as_publication=Brazilian+Symposium+on+Bioinformatics&amp;as_ylo=2019&amp;as_yhi=2023&amp;hl=pt-BR&amp;as_sdt=0%2C5" TargetMode="External"/><Relationship Id="rId144" Type="http://schemas.openxmlformats.org/officeDocument/2006/relationships/hyperlink" Target="https://sol.sbc.org.br/index.php/sbrlars" TargetMode="External"/><Relationship Id="rId73" Type="http://schemas.openxmlformats.org/officeDocument/2006/relationships/hyperlink" Target="https://scholar.google.com.br/scholar?as_q=&amp;as_epq=&amp;as_oq=&amp;as_eq=&amp;as_occt=any&amp;as_sauthors=&amp;as_publication=Brazilian+Symposium+on+Formal+Methods&amp;as_ylo=2019&amp;as_yhi=2023&amp;hl=pt-BR&amp;as_sdt=0%2C5" TargetMode="External"/><Relationship Id="rId72" Type="http://schemas.openxmlformats.org/officeDocument/2006/relationships/hyperlink" Target="https://sol.sbc.org.br/index.php/sbmf" TargetMode="External"/><Relationship Id="rId75" Type="http://schemas.openxmlformats.org/officeDocument/2006/relationships/hyperlink" Target="https://scholar.google.com.br/citations?hl=pt-BR&amp;view_op=list_hcore&amp;venue=21lpMhOn5OMJ.2024" TargetMode="External"/><Relationship Id="rId74" Type="http://schemas.openxmlformats.org/officeDocument/2006/relationships/hyperlink" Target="https://sol.sbc.org.br/index.php/sbqs" TargetMode="External"/><Relationship Id="rId77" Type="http://schemas.openxmlformats.org/officeDocument/2006/relationships/hyperlink" Target="https://scholar.google.com.br/scholar?as_q=&amp;as_epq=&amp;as_oq=&amp;as_eq=&amp;as_occt=any&amp;as_sauthors=&amp;as_publication=Latin+American+Robotics+Symposium&amp;as_ylo=2019&amp;as_yhi=2023&amp;hl=pt-BR&amp;as_sdt=0%2C5" TargetMode="External"/><Relationship Id="rId76" Type="http://schemas.openxmlformats.org/officeDocument/2006/relationships/hyperlink" Target="https://sol.sbc.org.br/index.php/sbrlars" TargetMode="External"/><Relationship Id="rId79" Type="http://schemas.openxmlformats.org/officeDocument/2006/relationships/hyperlink" Target="https://scholar.google.com.br/citations?hl=pt-BR&amp;view_op=list_hcore&amp;venue=3vnP2ksW2eAJ.2024" TargetMode="External"/><Relationship Id="rId78" Type="http://schemas.openxmlformats.org/officeDocument/2006/relationships/hyperlink" Target="https://sol.sbc.org.br/index.php/sbrc" TargetMode="External"/><Relationship Id="rId71" Type="http://schemas.openxmlformats.org/officeDocument/2006/relationships/hyperlink" Target="https://scholar.google.com.br/scholar?as_q=&amp;as_epq=&amp;as_oq=&amp;as_eq=&amp;as_occt=any&amp;as_sauthors=&amp;as_publication=Brazilian+Symposium+on+Programming+Languages&amp;as_ylo=2019&amp;as_yhi=2023&amp;hl=pt-BR&amp;as_sdt=0%2C5" TargetMode="External"/><Relationship Id="rId70" Type="http://schemas.openxmlformats.org/officeDocument/2006/relationships/hyperlink" Target="https://sol.sbc.org.br/index.php/sblp" TargetMode="External"/><Relationship Id="rId139" Type="http://schemas.openxmlformats.org/officeDocument/2006/relationships/hyperlink" Target="https://scholar.google.com.br/scholar?as_q=&amp;as_epq=&amp;as_oq=&amp;as_eq=&amp;as_occt=any&amp;as_sauthors=&amp;as_publication=Workshop+de+Pensamento+Computacional+e+Inclus%C3%A3o&amp;as_ylo=2019&amp;as_yhi=2023&amp;hl=pt-BR&amp;as_sdt=0%2C5" TargetMode="External"/><Relationship Id="rId138" Type="http://schemas.openxmlformats.org/officeDocument/2006/relationships/hyperlink" Target="https://sol.sbc.org.br/index.php/wpci/issue/archive" TargetMode="External"/><Relationship Id="rId137" Type="http://schemas.openxmlformats.org/officeDocument/2006/relationships/hyperlink" Target="https://scholar.google.com.br/citations?hl=pt-BR&amp;view_op=list_hcore&amp;venue=UW0cTaGLmlEJ.2024" TargetMode="External"/><Relationship Id="rId132" Type="http://schemas.openxmlformats.org/officeDocument/2006/relationships/hyperlink" Target="https://sol.sbc.org.br/index.php/wie" TargetMode="External"/><Relationship Id="rId131" Type="http://schemas.openxmlformats.org/officeDocument/2006/relationships/hyperlink" Target="https://scholar.google.com.br/scholar?as_q=&amp;as_epq=&amp;as_oq=&amp;as_eq=&amp;as_occt=any&amp;as_sauthors=&amp;as_publication=Workshop+Investiga%C3%A7%C3%B5es+em+Intera%C3%A7%C3%A3o+Humano-Dados&amp;as_ylo=2019&amp;as_yhi=2023&amp;hl=pt-BR&amp;as_sdt=0%2C5" TargetMode="External"/><Relationship Id="rId130" Type="http://schemas.openxmlformats.org/officeDocument/2006/relationships/hyperlink" Target="https://sol.sbc.org.br/index.php/wide/issue/archive" TargetMode="External"/><Relationship Id="rId136" Type="http://schemas.openxmlformats.org/officeDocument/2006/relationships/hyperlink" Target="https://sol.sbc.org.br/index.php/wit" TargetMode="External"/><Relationship Id="rId135" Type="http://schemas.openxmlformats.org/officeDocument/2006/relationships/hyperlink" Target="https://scholar.google.com.br/scholar?as_q=&amp;as_epq=&amp;as_oq=&amp;as_eq=&amp;as_occt=any&amp;as_sauthors=&amp;as_publication=Workshop+sobre+Intera%C3%A7%C3%A3o+e+Pesquisa+de+Usu%C3%A1rios+no+Desenvolvimento+de+Jogos&amp;as_ylo=2019&amp;as_yhi=2023&amp;hl=pt-BR&amp;as_sdt=0%2C5" TargetMode="External"/><Relationship Id="rId134" Type="http://schemas.openxmlformats.org/officeDocument/2006/relationships/hyperlink" Target="https://sol.sbc.org.br/index.php/wiplay/issue/archive" TargetMode="External"/><Relationship Id="rId133" Type="http://schemas.openxmlformats.org/officeDocument/2006/relationships/hyperlink" Target="https://scholar.google.com.br/citations?hl=pt-BR&amp;view_op=list_hcore&amp;venue=oRft04FzXroJ.2024" TargetMode="External"/><Relationship Id="rId62" Type="http://schemas.openxmlformats.org/officeDocument/2006/relationships/hyperlink" Target="https://sol.sbc.org.br/index.php/sbes" TargetMode="External"/><Relationship Id="rId61" Type="http://schemas.openxmlformats.org/officeDocument/2006/relationships/hyperlink" Target="https://scholar.google.com.br/scholar?as_q=&amp;as_epq=&amp;as_oq=&amp;as_eq=&amp;as_occt=any&amp;as_sauthors=&amp;as_publication=Simp%C3%B3sio+Brasileiro+de+Computa%C3%A7%C3%A3o+Ub%C3%ADqua+e+Pervasiva&amp;as_ylo=2019&amp;as_yhi=2023&amp;hl=pt-BR&amp;as_sdt=0%2C5" TargetMode="External"/><Relationship Id="rId64" Type="http://schemas.openxmlformats.org/officeDocument/2006/relationships/hyperlink" Target="https://sol.sbc.org.br/index.php/sbesc" TargetMode="External"/><Relationship Id="rId63" Type="http://schemas.openxmlformats.org/officeDocument/2006/relationships/hyperlink" Target="https://scholar.google.com.br/citations?hl=pt-BR&amp;view_op=list_hcore&amp;venue=rXEm9Hzg5P8J.2024" TargetMode="External"/><Relationship Id="rId66" Type="http://schemas.openxmlformats.org/officeDocument/2006/relationships/hyperlink" Target="https://sol.sbc.org.br/index.php/sbgames" TargetMode="External"/><Relationship Id="rId65" Type="http://schemas.openxmlformats.org/officeDocument/2006/relationships/hyperlink" Target="https://scholar.google.com.br/citations?hl=pt-BR&amp;view_op=list_hcore&amp;venue=EA9qTFRFeoUJ.2024" TargetMode="External"/><Relationship Id="rId68" Type="http://schemas.openxmlformats.org/officeDocument/2006/relationships/hyperlink" Target="https://sol.sbc.org.br/index.php/sbie" TargetMode="External"/><Relationship Id="rId67" Type="http://schemas.openxmlformats.org/officeDocument/2006/relationships/hyperlink" Target="https://scholar.google.com.br/citations?hl=pt-BR&amp;view_op=list_hcore&amp;venue=ByeMqHL0dxAJ.2024" TargetMode="External"/><Relationship Id="rId60" Type="http://schemas.openxmlformats.org/officeDocument/2006/relationships/hyperlink" Target="https://sol.sbc.org.br/index.php/sbcup" TargetMode="External"/><Relationship Id="rId69" Type="http://schemas.openxmlformats.org/officeDocument/2006/relationships/hyperlink" Target="https://scholar.google.com.br/citations?hl=pt-BR&amp;view_op=list_hcore&amp;venue=bZewJV4aiRcJ.2024" TargetMode="External"/><Relationship Id="rId51" Type="http://schemas.openxmlformats.org/officeDocument/2006/relationships/hyperlink" Target="https://sol.sbc.org.br/index.php/sbcars" TargetMode="External"/><Relationship Id="rId50" Type="http://schemas.openxmlformats.org/officeDocument/2006/relationships/hyperlink" Target="https://scholar.google.com.br/citations?hl=pt-BR&amp;view_op=list_hcore&amp;venue=ixetonJUY2YJ.2024" TargetMode="External"/><Relationship Id="rId53" Type="http://schemas.openxmlformats.org/officeDocument/2006/relationships/hyperlink" Target="https://sol.sbc.org.br/index.php/sbcas" TargetMode="External"/><Relationship Id="rId52" Type="http://schemas.openxmlformats.org/officeDocument/2006/relationships/hyperlink" Target="https://scholar.google.com.br/scholar?as_q=&amp;as_epq=&amp;as_oq=&amp;as_eq=&amp;as_occt=any&amp;as_sauthors=&amp;as_publication=Brazilian+Symposium+on+Software+Components%2C+Architectures%2C+and+Reuse&amp;as_ylo=2019&amp;as_yhi=2023&amp;hl=pt-BR&amp;as_sdt=0%2C5" TargetMode="External"/><Relationship Id="rId55" Type="http://schemas.openxmlformats.org/officeDocument/2006/relationships/hyperlink" Target="https://sol.sbc.org.br/index.php/sbcci" TargetMode="External"/><Relationship Id="rId54" Type="http://schemas.openxmlformats.org/officeDocument/2006/relationships/hyperlink" Target="https://scholar.google.com.br/citations?hl=pt-BR&amp;view_op=list_hcore&amp;venue=FToOQu3w6DQJ.2024" TargetMode="External"/><Relationship Id="rId57" Type="http://schemas.openxmlformats.org/officeDocument/2006/relationships/hyperlink" Target="https://sol.sbc.org.br/index.php/sbceb/issue/archive" TargetMode="External"/><Relationship Id="rId56" Type="http://schemas.openxmlformats.org/officeDocument/2006/relationships/hyperlink" Target="https://scholar.google.com.br/citations?hl=pt-BR&amp;view_op=list_hcore&amp;venue=ce7ecw4OEFoJ.2024" TargetMode="External"/><Relationship Id="rId159" Type="http://schemas.openxmlformats.org/officeDocument/2006/relationships/drawing" Target="../drawings/drawing32.xml"/><Relationship Id="rId59" Type="http://schemas.openxmlformats.org/officeDocument/2006/relationships/hyperlink" Target="https://scholar.google.com.br/citations?hl=pt-BR&amp;view_op=list_hcore&amp;venue=MJ4po7WYCJ8J.2024" TargetMode="External"/><Relationship Id="rId154" Type="http://schemas.openxmlformats.org/officeDocument/2006/relationships/hyperlink" Target="https://sol.sbc.org.br/index.php/wte/issue/archive" TargetMode="External"/><Relationship Id="rId58" Type="http://schemas.openxmlformats.org/officeDocument/2006/relationships/hyperlink" Target="https://sol.sbc.org.br/index.php/sbcm" TargetMode="External"/><Relationship Id="rId153" Type="http://schemas.openxmlformats.org/officeDocument/2006/relationships/hyperlink" Target="https://sol.sbc.org.br/index.php/wslice/issue/archive" TargetMode="External"/><Relationship Id="rId152" Type="http://schemas.openxmlformats.org/officeDocument/2006/relationships/hyperlink" Target="https://sol.sbc.org.br/index.php/wsensing/issue/archive" TargetMode="External"/><Relationship Id="rId151" Type="http://schemas.openxmlformats.org/officeDocument/2006/relationships/hyperlink" Target="https://sol.sbc.org.br/index.php/wscdc/issue/archive" TargetMode="External"/><Relationship Id="rId158" Type="http://schemas.openxmlformats.org/officeDocument/2006/relationships/hyperlink" Target="https://sol.sbc.org.br/index.php/wtrans/issue/archive" TargetMode="External"/><Relationship Id="rId157" Type="http://schemas.openxmlformats.org/officeDocument/2006/relationships/hyperlink" Target="https://scholar.google.com.br/scholar?as_q=&amp;as_epq=&amp;as_oq=&amp;as_eq=&amp;as_occt=any&amp;as_sauthors=&amp;as_publication=Workshop+de+Testes+e+Toler%C3%A2ncia+a+Falhas&amp;as_ylo=2019&amp;as_yhi=2023&amp;hl=pt-BR&amp;as_sdt=0%2C5" TargetMode="External"/><Relationship Id="rId156" Type="http://schemas.openxmlformats.org/officeDocument/2006/relationships/hyperlink" Target="https://sol.sbc.org.br/index.php/wtf/issue/archive" TargetMode="External"/><Relationship Id="rId155" Type="http://schemas.openxmlformats.org/officeDocument/2006/relationships/hyperlink" Target="https://sol.sbc.org.br/index.php/wtestbeds/issue/archive" TargetMode="External"/><Relationship Id="rId107" Type="http://schemas.openxmlformats.org/officeDocument/2006/relationships/hyperlink" Target="https://scholar.google.com.br/scholar?as_q=&amp;as_epq=&amp;as_oq=&amp;as_eq=&amp;as_occt=any&amp;as_sauthors=&amp;as_publication=Workshop+Brasileiro+de+L%C3%B3gica&amp;as_ylo=2019&amp;as_yhi=2023&amp;hl=pt-BR&amp;as_sdt=0%2C5" TargetMode="External"/><Relationship Id="rId106" Type="http://schemas.openxmlformats.org/officeDocument/2006/relationships/hyperlink" Target="https://sol.sbc.org.br/index.php/wbl" TargetMode="External"/><Relationship Id="rId105" Type="http://schemas.openxmlformats.org/officeDocument/2006/relationships/hyperlink" Target="https://sol.sbc.org.br/index.php/wbci/issue/archive" TargetMode="External"/><Relationship Id="rId104" Type="http://schemas.openxmlformats.org/officeDocument/2006/relationships/hyperlink" Target="https://scholar.google.com.br/scholar?as_q=&amp;as_epq=&amp;as_oq=&amp;as_eq=&amp;as_occt=any&amp;as_sauthors=&amp;as_publication=Workshop+sobre+Aspectos+Sociais%2C+Humanos+e+Econ%C3%B4micos+de+Software&amp;as_ylo=2019&amp;as_yhi=2023&amp;hl=pt-BR&amp;as_sdt=0%2C5" TargetMode="External"/><Relationship Id="rId109" Type="http://schemas.openxmlformats.org/officeDocument/2006/relationships/hyperlink" Target="https://scholar.google.com.br/scholar?as_q=&amp;as_epq=&amp;as_oq=&amp;as_eq=&amp;as_occt=any&amp;as_sauthors=&amp;as_publication=Workshop+em+Blockchain%3A+Teoria%2C+Tecnologias+e+Aplica%C3%A7%C3%B5es&amp;as_ylo=2019&amp;as_yhi=2023&amp;hl=pt-BR&amp;as_sdt=0%2C5" TargetMode="External"/><Relationship Id="rId108" Type="http://schemas.openxmlformats.org/officeDocument/2006/relationships/hyperlink" Target="https://sol.sbc.org.br/index.php/wblockchain/issue/archive" TargetMode="External"/><Relationship Id="rId103" Type="http://schemas.openxmlformats.org/officeDocument/2006/relationships/hyperlink" Target="https://sol.sbc.org.br/index.php/washes" TargetMode="External"/><Relationship Id="rId102" Type="http://schemas.openxmlformats.org/officeDocument/2006/relationships/hyperlink" Target="https://sol.sbc.org.br/index.php/wapla/issue/archive" TargetMode="External"/><Relationship Id="rId101" Type="http://schemas.openxmlformats.org/officeDocument/2006/relationships/hyperlink" Target="https://scholar.google.com.br/scholar?as_q=&amp;as_epq=&amp;as_oq=&amp;as_eq=&amp;as_occt=any&amp;as_sauthors=&amp;as_publication=Workshop+sobre+Aspectos+da+Intera%C3%A7%C3%A3o&amp;as_ylo=2019&amp;as_yhi=2023&amp;hl=pt-BR&amp;as_sdt=0%2C5" TargetMode="External"/><Relationship Id="rId100" Type="http://schemas.openxmlformats.org/officeDocument/2006/relationships/hyperlink" Target="https://sol.sbc.org.br/index.php/waihcws/issue/archive" TargetMode="External"/><Relationship Id="rId129" Type="http://schemas.openxmlformats.org/officeDocument/2006/relationships/hyperlink" Target="https://scholar.google.com.br/scholar?as_q=&amp;as_epq=&amp;as_oq=&amp;as_eq=&amp;as_occt=any&amp;as_sauthors=&amp;as_publication=Workshop+sobre+as+Implica%C3%A7%C3%B5es+da+Computa%C3%A7%C3%A3o+na+Sociedade&amp;as_ylo=&amp;as_yhi=&amp;hl=pt-BR&amp;as_sdt=0%2C5" TargetMode="External"/><Relationship Id="rId128" Type="http://schemas.openxmlformats.org/officeDocument/2006/relationships/hyperlink" Target="https://sol.sbc.org.br/index.php/wics" TargetMode="External"/><Relationship Id="rId127" Type="http://schemas.openxmlformats.org/officeDocument/2006/relationships/hyperlink" Target="https://scholar.google.com/scholar?as_q=&amp;as_epq=&amp;as_oq=&amp;as_eq=&amp;as_occt=any&amp;as_sauthors=&amp;as_publication=Workshop+de+Ger%C3%AAncia+e+Opera%C3%A7%C3%A3o+de+Redes+e+Servi%C3%A7os&amp;as_ylo=2019&amp;as_yhi=2023&amp;hl=pt-BR&amp;as_sdt=0%2C5" TargetMode="External"/><Relationship Id="rId126" Type="http://schemas.openxmlformats.org/officeDocument/2006/relationships/hyperlink" Target="https://sol.sbc.org.br/index.php/wgrs/issue/archive" TargetMode="External"/><Relationship Id="rId121" Type="http://schemas.openxmlformats.org/officeDocument/2006/relationships/hyperlink" Target="https://sol.sbc.org.br/index.php/weihc/issue/archive" TargetMode="External"/><Relationship Id="rId120" Type="http://schemas.openxmlformats.org/officeDocument/2006/relationships/hyperlink" Target="https://scholar.google.com.br/citations?hl=pt-BR&amp;view_op=list_hcore&amp;venue=-eLSF6KffKgJ.2024" TargetMode="External"/><Relationship Id="rId125" Type="http://schemas.openxmlformats.org/officeDocument/2006/relationships/hyperlink" Target="https://sol.sbc.org.br/index.php/wgid/issue/archive" TargetMode="External"/><Relationship Id="rId124" Type="http://schemas.openxmlformats.org/officeDocument/2006/relationships/hyperlink" Target="https://sol.sbc.org.br/index.php/wfibre/issue/archive" TargetMode="External"/><Relationship Id="rId123" Type="http://schemas.openxmlformats.org/officeDocument/2006/relationships/hyperlink" Target="https://sol.sbc.org.br/index.php/wfc/issue/archive" TargetMode="External"/><Relationship Id="rId122" Type="http://schemas.openxmlformats.org/officeDocument/2006/relationships/hyperlink" Target="https://sol.sbc.org.br/index.php/wetie" TargetMode="External"/><Relationship Id="rId95" Type="http://schemas.openxmlformats.org/officeDocument/2006/relationships/hyperlink" Target="https://scholar.google.com.br/citations?hl=pt-BR&amp;view_op=list_hcore&amp;venue=Y15SCgN8Um8J.2024" TargetMode="External"/><Relationship Id="rId94" Type="http://schemas.openxmlformats.org/officeDocument/2006/relationships/hyperlink" Target="https://sol.sbc.org.br/index.php/svr" TargetMode="External"/><Relationship Id="rId97" Type="http://schemas.openxmlformats.org/officeDocument/2006/relationships/hyperlink" Target="https://scholar.google.com.br/scholar?as_q=&amp;as_epq=&amp;as_oq=&amp;as_eq=&amp;as_occt=any&amp;as_sauthors=&amp;as_publication=Workshop+de+Visualiza%C3%A7%C3%A3o%2C+Evolu%C3%A7%C3%A3o+e+Manuten%C3%A7%C3%A3o+de+Software&amp;as_ylo=2019&amp;as_yhi=2023&amp;hl=pt-BR&amp;as_sdt=0%2C5" TargetMode="External"/><Relationship Id="rId96" Type="http://schemas.openxmlformats.org/officeDocument/2006/relationships/hyperlink" Target="https://sol.sbc.org.br/index.php/vem/issue/archive" TargetMode="External"/><Relationship Id="rId99" Type="http://schemas.openxmlformats.org/officeDocument/2006/relationships/hyperlink" Target="https://scholar.google.com.br/scholar?as_q=&amp;as_epq=&amp;as_oq=&amp;as_eq=&amp;as_occt=any&amp;as_sauthors=&amp;as_publication=Workshop+de+Redes+6G&amp;as_ylo=2019&amp;as_yhi=2023&amp;hl=pt-BR&amp;as_sdt=0%2C5" TargetMode="External"/><Relationship Id="rId98" Type="http://schemas.openxmlformats.org/officeDocument/2006/relationships/hyperlink" Target="https://sol.sbc.org.br/index.php/w6g/issue/archive" TargetMode="External"/><Relationship Id="rId91" Type="http://schemas.openxmlformats.org/officeDocument/2006/relationships/hyperlink" Target="https://scholar.google.com.br/citations?hl=pt-BR&amp;view_op=list_hcore&amp;venue=MZeKedZe-5YJ.2024" TargetMode="External"/><Relationship Id="rId90" Type="http://schemas.openxmlformats.org/officeDocument/2006/relationships/hyperlink" Target="https://sol.sbc.org.br/index.php/sscad" TargetMode="External"/><Relationship Id="rId93" Type="http://schemas.openxmlformats.org/officeDocument/2006/relationships/hyperlink" Target="https://scholar.google.com.br/scholar?as_q=&amp;as_epq=&amp;as_oq=&amp;as_eq=&amp;as_occt=any&amp;as_sauthors=&amp;as_publication=Symposium+in+Information+and+Human+Language+Technology&amp;as_ylo=2019&amp;as_yhi=2023&amp;hl=pt-BR&amp;as_sdt=0%2C5" TargetMode="External"/><Relationship Id="rId92" Type="http://schemas.openxmlformats.org/officeDocument/2006/relationships/hyperlink" Target="https://sol.sbc.org.br/index.php/stil" TargetMode="External"/><Relationship Id="rId118" Type="http://schemas.openxmlformats.org/officeDocument/2006/relationships/hyperlink" Target="https://scholar.google.com/citations?hl=en&amp;view_op=list_hcore&amp;venue=EL-07Zfxn_kJ.2024" TargetMode="External"/><Relationship Id="rId117" Type="http://schemas.openxmlformats.org/officeDocument/2006/relationships/hyperlink" Target="https://sol.sbc.org.br/index.php/webmedia" TargetMode="External"/><Relationship Id="rId116" Type="http://schemas.openxmlformats.org/officeDocument/2006/relationships/hyperlink" Target="https://sol.sbc.org.br/index.php/weadeh" TargetMode="External"/><Relationship Id="rId115" Type="http://schemas.openxmlformats.org/officeDocument/2006/relationships/hyperlink" Target="https://scholar.google.com.br/scholar?as_q=&amp;as_epq=&amp;as_oq=&amp;as_eq=&amp;as_occt=any&amp;as_sauthors=&amp;as_publication=Workshop+de+Computa%C3%A7%C3%A3o+Aplicada+em+Governo+Eletr%C3%B4nico&amp;as_ylo=&amp;as_yhi=&amp;hl=pt-BR&amp;as_sdt=0%2C5" TargetMode="External"/><Relationship Id="rId119" Type="http://schemas.openxmlformats.org/officeDocument/2006/relationships/hyperlink" Target="https://sol.sbc.org.br/index.php/wei" TargetMode="External"/><Relationship Id="rId110" Type="http://schemas.openxmlformats.org/officeDocument/2006/relationships/hyperlink" Target="https://sol.sbc.org.br/index.php/wcama" TargetMode="External"/><Relationship Id="rId114" Type="http://schemas.openxmlformats.org/officeDocument/2006/relationships/hyperlink" Target="https://sol.sbc.org.br/index.php/wcge" TargetMode="External"/><Relationship Id="rId113" Type="http://schemas.openxmlformats.org/officeDocument/2006/relationships/hyperlink" Target="https://scholar.google.com.br/scholar?as_q=&amp;as_epq=&amp;as_oq=&amp;as_eq=&amp;as_occt=any&amp;as_sauthors=&amp;as_publication=Workshop+em+Clouds+e+Aplica%C3%A7%C3%B5es&amp;as_ylo=2019&amp;as_yhi=2023&amp;hl=pt-BR&amp;as_sdt=0%2C5" TargetMode="External"/><Relationship Id="rId112" Type="http://schemas.openxmlformats.org/officeDocument/2006/relationships/hyperlink" Target="https://sol.sbc.org.br/index.php/wcga/issue/archive" TargetMode="External"/><Relationship Id="rId111" Type="http://schemas.openxmlformats.org/officeDocument/2006/relationships/hyperlink" Target="https://scholar.google.com.br/scholar?as_q=&amp;as_epq=&amp;as_oq=&amp;as_eq=&amp;as_occt=any&amp;as_sauthors=&amp;as_publication=Workshop+de+Computa%C3%A7%C3%A3o+Aplicada+%C3%A0+Gest%C3%A3o+do+Meio+Ambiente+e+Recursos+Naturais&amp;as_ylo=2019&amp;as_yhi=2023&amp;hl=pt-BR&amp;as_sdt=0%2C5" TargetMode="External"/></Relationships>
</file>

<file path=xl/worksheets/_rels/sheet4.xml.rels><?xml version="1.0" encoding="UTF-8" standalone="yes"?><Relationships xmlns="http://schemas.openxmlformats.org/package/2006/relationships"><Relationship Id="rId40" Type="http://schemas.openxmlformats.org/officeDocument/2006/relationships/hyperlink" Target="https://scholar.google.com/citations?hl=pt-BR&amp;view_op=list_hcore&amp;venue=9giMOactGh8J.2024" TargetMode="External"/><Relationship Id="rId42" Type="http://schemas.openxmlformats.org/officeDocument/2006/relationships/hyperlink" Target="https://dblp.org/db/conf/fpl/index.html" TargetMode="External"/><Relationship Id="rId41" Type="http://schemas.openxmlformats.org/officeDocument/2006/relationships/hyperlink" Target="https://scholar.google.com/citations?hl=pt-BR&amp;view_op=list_hcore&amp;venue=7JfwVbgjkZUJ.2024" TargetMode="External"/><Relationship Id="rId44" Type="http://schemas.openxmlformats.org/officeDocument/2006/relationships/hyperlink" Target="https://dblp.org/db/conf/islped/index.html" TargetMode="External"/><Relationship Id="rId43" Type="http://schemas.openxmlformats.org/officeDocument/2006/relationships/hyperlink" Target="https://scholar.google.com/citations?hl=pt-BR&amp;view_op=list_hcore&amp;venue=NoKVsOmGgEMJ.2024" TargetMode="External"/><Relationship Id="rId46" Type="http://schemas.openxmlformats.org/officeDocument/2006/relationships/hyperlink" Target="https://dblp.org/db/conf/cicc/index.html" TargetMode="External"/><Relationship Id="rId45" Type="http://schemas.openxmlformats.org/officeDocument/2006/relationships/hyperlink" Target="https://scholar.google.com/citations?hl=pt-BR&amp;view_op=list_hcore&amp;venue=yHnzH6ndKgwJ.2024" TargetMode="External"/><Relationship Id="rId107" Type="http://schemas.openxmlformats.org/officeDocument/2006/relationships/hyperlink" Target="https://scholar.google.com/scholar?as_q=&amp;as_epq=&amp;as_oq=&amp;as_eq=&amp;as_occt=any&amp;as_sauthors=&amp;as_publication=European+Symposium+on+Reliability+of+Electron+Devices+Failure+Physics+and+Analysis&amp;as_ylo=2020&amp;as_yhi=2024&amp;hl=en&amp;as_sdt=0%2C5" TargetMode="External"/><Relationship Id="rId106" Type="http://schemas.openxmlformats.org/officeDocument/2006/relationships/hyperlink" Target="https://dblp.org/db/conf/vlsid/index.html" TargetMode="External"/><Relationship Id="rId105" Type="http://schemas.openxmlformats.org/officeDocument/2006/relationships/hyperlink" Target="https://scholar.google.com/citations?hl=pt-BR&amp;view_op=list_hcore&amp;venue=ouDl0FhpZQ8J.2024" TargetMode="External"/><Relationship Id="rId104" Type="http://schemas.openxmlformats.org/officeDocument/2006/relationships/hyperlink" Target="https://scholar.google.com/scholar?as_q=&amp;as_epq=&amp;as_oq=&amp;as_eq=&amp;as_occt=any&amp;as_sauthors=&amp;as_publication=Microelectronics+Student+Forum&amp;as_ylo=2020&amp;as_yhi=2024&amp;hl=en&amp;as_sdt=0%2C5" TargetMode="External"/><Relationship Id="rId109" Type="http://schemas.openxmlformats.org/officeDocument/2006/relationships/hyperlink" Target="https://dblp.org/db/conf/asap/index.html" TargetMode="External"/><Relationship Id="rId108" Type="http://schemas.openxmlformats.org/officeDocument/2006/relationships/hyperlink" Target="https://scholar.google.com/citations?hl=pt-BR&amp;view_op=list_hcore&amp;venue=8awDgn_OhGYJ.2024" TargetMode="External"/><Relationship Id="rId48" Type="http://schemas.openxmlformats.org/officeDocument/2006/relationships/hyperlink" Target="https://dblp.org/db/conf/esscirc/index.html" TargetMode="External"/><Relationship Id="rId47" Type="http://schemas.openxmlformats.org/officeDocument/2006/relationships/hyperlink" Target="https://scholar.google.com/citations?hl=pt-BR&amp;view_op=list_hcore&amp;venue=rIvU5DZe6gMJ.2024" TargetMode="External"/><Relationship Id="rId49" Type="http://schemas.openxmlformats.org/officeDocument/2006/relationships/hyperlink" Target="https://scholar.google.com/citations?hl=pt-BR&amp;view_op=list_hcore&amp;venue=iPNrzhpu_IoJ.2024" TargetMode="External"/><Relationship Id="rId103" Type="http://schemas.openxmlformats.org/officeDocument/2006/relationships/hyperlink" Target="https://scholar.google.com/scholar?as_q=&amp;as_epq=&amp;as_oq=&amp;as_eq=&amp;as_occt=any&amp;as_sauthors=&amp;as_publication=Workshop+Iberchip&amp;as_ylo=2020&amp;as_yhi=2024&amp;hl=en&amp;as_sdt=0%2C5" TargetMode="External"/><Relationship Id="rId102" Type="http://schemas.openxmlformats.org/officeDocument/2006/relationships/hyperlink" Target="https://dblp.org/db/conf/sarnoff/index.html" TargetMode="External"/><Relationship Id="rId101" Type="http://schemas.openxmlformats.org/officeDocument/2006/relationships/hyperlink" Target="https://dblp.org/db/conf/cases/index.html" TargetMode="External"/><Relationship Id="rId100" Type="http://schemas.openxmlformats.org/officeDocument/2006/relationships/hyperlink" Target="https://scholar.google.com/scholar?as_q=&amp;as_epq=&amp;as_oq=&amp;as_eq=&amp;as_occt=any&amp;as_sauthors=&amp;as_publication=International+Conference+on+Compilers%2C+Architecture%2C+and+Synthesis+for+Embedded+Systems&amp;as_ylo=2020&amp;as_yhi=2024&amp;hl=en&amp;as_sdt=0%2C5" TargetMode="External"/><Relationship Id="rId31" Type="http://schemas.openxmlformats.org/officeDocument/2006/relationships/hyperlink" Target="https://scholar.google.com/citations?hl=pt-BR&amp;view_op=list_hcore&amp;venue=lCK4wgZQRSUJ.2024" TargetMode="External"/><Relationship Id="rId30" Type="http://schemas.openxmlformats.org/officeDocument/2006/relationships/hyperlink" Target="https://dblp.org/db/conf/mwscas/index.html" TargetMode="External"/><Relationship Id="rId33" Type="http://schemas.openxmlformats.org/officeDocument/2006/relationships/hyperlink" Target="https://scholar.google.com/citations?hl=pt-BR&amp;view_op=list_hcore&amp;venue=q_zVL_Uah5UJ.2024" TargetMode="External"/><Relationship Id="rId32" Type="http://schemas.openxmlformats.org/officeDocument/2006/relationships/hyperlink" Target="https://dblp.org/db/conf/newcas/index.html" TargetMode="External"/><Relationship Id="rId35" Type="http://schemas.openxmlformats.org/officeDocument/2006/relationships/hyperlink" Target="https://dblp.org/db/conf/dsd/index.html" TargetMode="External"/><Relationship Id="rId34" Type="http://schemas.openxmlformats.org/officeDocument/2006/relationships/hyperlink" Target="https://scholar.google.com/citations?hl=pt-BR&amp;view_op=list_hcore&amp;venue=42wcJhr2yF0J.2024" TargetMode="External"/><Relationship Id="rId37" Type="http://schemas.openxmlformats.org/officeDocument/2006/relationships/hyperlink" Target="https://dblp.org/db/conf/fpga/index.html" TargetMode="External"/><Relationship Id="rId36" Type="http://schemas.openxmlformats.org/officeDocument/2006/relationships/hyperlink" Target="https://scholar.google.com/citations?hl=pt-BR&amp;view_op=list_hcore&amp;venue=X39h_ye2QL4J.2024" TargetMode="External"/><Relationship Id="rId39" Type="http://schemas.openxmlformats.org/officeDocument/2006/relationships/hyperlink" Target="https://dblp.org/db/conf/async/index.html" TargetMode="External"/><Relationship Id="rId38" Type="http://schemas.openxmlformats.org/officeDocument/2006/relationships/hyperlink" Target="https://scholar.google.com/scholar?as_q=&amp;as_epq=&amp;as_oq=&amp;as_eq=&amp;as_occt=any&amp;as_sauthors=&amp;as_publication=Symposium+on+Asynchronous+Circuits+and+Systems&amp;as_ylo=2020&amp;as_yhi=2024&amp;hl=en&amp;as_sdt=0%2C5" TargetMode="External"/><Relationship Id="rId20" Type="http://schemas.openxmlformats.org/officeDocument/2006/relationships/hyperlink" Target="https://dblp.org/db/conf/icecsys/index.html" TargetMode="External"/><Relationship Id="rId22" Type="http://schemas.openxmlformats.org/officeDocument/2006/relationships/hyperlink" Target="https://dblp.org/db/conf/sbcci/index.html" TargetMode="External"/><Relationship Id="rId21" Type="http://schemas.openxmlformats.org/officeDocument/2006/relationships/hyperlink" Target="https://scholar.google.com/citations?hl=pt-BR&amp;view_op=list_hcore&amp;venue=ce7ecw4OEFoJ.2024" TargetMode="External"/><Relationship Id="rId24" Type="http://schemas.openxmlformats.org/officeDocument/2006/relationships/hyperlink" Target="https://dblp.org/db/conf/iccd/index.html" TargetMode="External"/><Relationship Id="rId23" Type="http://schemas.openxmlformats.org/officeDocument/2006/relationships/hyperlink" Target="https://scholar.google.com/citations?hl=pt-BR&amp;view_op=list_hcore&amp;venue=gt4MHCWp_ckJ.2024" TargetMode="External"/><Relationship Id="rId26" Type="http://schemas.openxmlformats.org/officeDocument/2006/relationships/hyperlink" Target="https://dblp.org/db/conf/vlsi/index.html" TargetMode="External"/><Relationship Id="rId25" Type="http://schemas.openxmlformats.org/officeDocument/2006/relationships/hyperlink" Target="https://scholar.google.com/scholar?as_q=&amp;as_epq=&amp;as_oq=&amp;as_eq=&amp;as_occt=any&amp;as_sauthors=&amp;as_publication=IEEE%2FACM+International+Symposium+on+Networks%E2%80%91on%E2%80%91Chip&amp;as_ylo=2020&amp;as_yhi=2024&amp;hl=en&amp;as_sdt=0%2C5" TargetMode="External"/><Relationship Id="rId28" Type="http://schemas.openxmlformats.org/officeDocument/2006/relationships/hyperlink" Target="https://dblp.org/db/conf/latw/index.html" TargetMode="External"/><Relationship Id="rId27" Type="http://schemas.openxmlformats.org/officeDocument/2006/relationships/hyperlink" Target="https://scholar.google.com/citations?hl=pt-BR&amp;view_op=list_hcore&amp;venue=IdSNHXeKP5gJ.2024" TargetMode="External"/><Relationship Id="rId29" Type="http://schemas.openxmlformats.org/officeDocument/2006/relationships/hyperlink" Target="https://scholar.google.com/citations?hl=pt-BR&amp;view_op=list_hcore&amp;venue=IKwP_BZwq3kJ.2024" TargetMode="External"/><Relationship Id="rId95" Type="http://schemas.openxmlformats.org/officeDocument/2006/relationships/hyperlink" Target="https://scholar.google.com/scholar?as_q=&amp;as_epq=&amp;as_oq=&amp;as_eq=&amp;as_occt=any&amp;as_sauthors=&amp;as_publication=IEEE+International+3D+Systems+Integration+Conference&amp;as_ylo=2020&amp;as_yhi=2024&amp;hl=en&amp;as_sdt=0%2C5" TargetMode="External"/><Relationship Id="rId94" Type="http://schemas.openxmlformats.org/officeDocument/2006/relationships/hyperlink" Target="https://dblp.org/db/conf/reconfig/index.html" TargetMode="External"/><Relationship Id="rId97" Type="http://schemas.openxmlformats.org/officeDocument/2006/relationships/hyperlink" Target="https://scholar.google.com/citations?hl=pt-BR&amp;view_op=list_hcore&amp;venue=-JLYUDNfBVUJ.2024" TargetMode="External"/><Relationship Id="rId96" Type="http://schemas.openxmlformats.org/officeDocument/2006/relationships/hyperlink" Target="https://dblp.org/db/conf/3dic/index.html" TargetMode="External"/><Relationship Id="rId11" Type="http://schemas.openxmlformats.org/officeDocument/2006/relationships/hyperlink" Target="https://scholar.google.com/citations?hl=pt-BR&amp;view_op=list_hcore&amp;venue=qcCDTf9GIAMJ.2024" TargetMode="External"/><Relationship Id="rId99" Type="http://schemas.openxmlformats.org/officeDocument/2006/relationships/hyperlink" Target="https://dblp.org/db/conf/fdl/index.html" TargetMode="External"/><Relationship Id="rId10" Type="http://schemas.openxmlformats.org/officeDocument/2006/relationships/hyperlink" Target="https://dblp.org/db/conf/date/index.html" TargetMode="External"/><Relationship Id="rId98" Type="http://schemas.openxmlformats.org/officeDocument/2006/relationships/hyperlink" Target="https://scholar.google.com/scholar?as_q=&amp;as_epq=&amp;as_oq=&amp;as_eq=&amp;as_occt=any&amp;as_sauthors=&amp;as_publication=Forum+on+Specification+and+Design+Languages&amp;as_ylo=2020&amp;as_yhi=2024&amp;hl=en&amp;as_sdt=0%2C5" TargetMode="External"/><Relationship Id="rId13" Type="http://schemas.openxmlformats.org/officeDocument/2006/relationships/hyperlink" Target="https://scholar.google.com/citations?hl=pt-BR&amp;view_op=list_hcore&amp;venue=0lu0mPyqVXAJ.2024" TargetMode="External"/><Relationship Id="rId12" Type="http://schemas.openxmlformats.org/officeDocument/2006/relationships/hyperlink" Target="https://dblp.org/db/conf/ispd/index.html" TargetMode="External"/><Relationship Id="rId91" Type="http://schemas.openxmlformats.org/officeDocument/2006/relationships/hyperlink" Target="https://dblp.org/db/conf/ecctd/index.html" TargetMode="External"/><Relationship Id="rId90" Type="http://schemas.openxmlformats.org/officeDocument/2006/relationships/hyperlink" Target="https://scholar.google.com/scholar?as_q=&amp;as_epq=&amp;as_oq=&amp;as_eq=&amp;as_occt=any&amp;as_sauthors=&amp;as_publication=European+Conference+on+Circuit+Theory+and+Design&amp;as_ylo=2020&amp;as_yhi=2024&amp;hl=en&amp;as_sdt=0%2C5" TargetMode="External"/><Relationship Id="rId93" Type="http://schemas.openxmlformats.org/officeDocument/2006/relationships/hyperlink" Target="https://dblp.org/db/conf/codesisss/index.html" TargetMode="External"/><Relationship Id="rId92" Type="http://schemas.openxmlformats.org/officeDocument/2006/relationships/hyperlink" Target="https://scholar.google.com/scholar?as_q=&amp;as_epq=&amp;as_oq=&amp;as_eq=&amp;as_occt=any&amp;as_sauthors=&amp;as_publication=International+Conference+on+Hardware%2FSoftware+Codesign+and+System+Synthesis&amp;as_ylo=2020&amp;as_yhi=2024&amp;hl=en&amp;as_sdt=0%2C5" TargetMode="External"/><Relationship Id="rId15" Type="http://schemas.openxmlformats.org/officeDocument/2006/relationships/hyperlink" Target="https://scholar.google.com/citations?hl=pt-BR&amp;view_op=list_hcore&amp;venue=HwA04ld57EIJ.2024" TargetMode="External"/><Relationship Id="rId110" Type="http://schemas.openxmlformats.org/officeDocument/2006/relationships/drawing" Target="../drawings/drawing4.xml"/><Relationship Id="rId14" Type="http://schemas.openxmlformats.org/officeDocument/2006/relationships/hyperlink" Target="https://dblp.org/db/conf/vlsi/index.html" TargetMode="External"/><Relationship Id="rId17" Type="http://schemas.openxmlformats.org/officeDocument/2006/relationships/hyperlink" Target="https://scholar.google.com/citations?hl=pt-BR&amp;view_op=list_hcore&amp;venue=YnM0PRNMjrsJ.2024" TargetMode="External"/><Relationship Id="rId16" Type="http://schemas.openxmlformats.org/officeDocument/2006/relationships/hyperlink" Target="https://dblp.org/db/conf/lascas/index.html" TargetMode="External"/><Relationship Id="rId19" Type="http://schemas.openxmlformats.org/officeDocument/2006/relationships/hyperlink" Target="https://scholar.google.com/citations?hl=pt-BR&amp;view_op=list_hcore&amp;venue=9Io6PPD79ysJ.2024" TargetMode="External"/><Relationship Id="rId18" Type="http://schemas.openxmlformats.org/officeDocument/2006/relationships/hyperlink" Target="https://dblp.org/db/conf/isvlsi/index.html" TargetMode="External"/><Relationship Id="rId84" Type="http://schemas.openxmlformats.org/officeDocument/2006/relationships/hyperlink" Target="https://scholar.google.com/citations?hl=pt-BR&amp;view_op=list_hcore&amp;venue=WIezXfeOQkEJ.2024" TargetMode="External"/><Relationship Id="rId83" Type="http://schemas.openxmlformats.org/officeDocument/2006/relationships/hyperlink" Target="https://dblp.org/db/conf/samos/index.html" TargetMode="External"/><Relationship Id="rId86" Type="http://schemas.openxmlformats.org/officeDocument/2006/relationships/hyperlink" Target="https://scholar.google.com/citations?hl=pt-BR&amp;view_op=list_hcore&amp;venue=YfOo-Q2IJm8J.2024" TargetMode="External"/><Relationship Id="rId85" Type="http://schemas.openxmlformats.org/officeDocument/2006/relationships/hyperlink" Target="https://dblp.org/db/conf/fpt/index.html" TargetMode="External"/><Relationship Id="rId88" Type="http://schemas.openxmlformats.org/officeDocument/2006/relationships/hyperlink" Target="https://scholar.google.com.br/citations?hl=pt-BR&amp;view_op=list_hcore&amp;venue=z8sUAB07Au0J.2018" TargetMode="External"/><Relationship Id="rId87" Type="http://schemas.openxmlformats.org/officeDocument/2006/relationships/hyperlink" Target="https://dblp.org/db/conf/arc/index.html" TargetMode="External"/><Relationship Id="rId89" Type="http://schemas.openxmlformats.org/officeDocument/2006/relationships/hyperlink" Target="https://dblp.org/db/conf/recosoc/index.html" TargetMode="External"/><Relationship Id="rId80" Type="http://schemas.openxmlformats.org/officeDocument/2006/relationships/hyperlink" Target="https://scholar.google.com/citations?hl=pt-BR&amp;view_op=list_hcore&amp;venue=uLGTNGzfRS0J.2024" TargetMode="External"/><Relationship Id="rId82" Type="http://schemas.openxmlformats.org/officeDocument/2006/relationships/hyperlink" Target="https://scholar.google.com/citations?hl=pt-BR&amp;view_op=list_hcore&amp;venue=6GMyv-BpYgwJ.2024" TargetMode="External"/><Relationship Id="rId81" Type="http://schemas.openxmlformats.org/officeDocument/2006/relationships/hyperlink" Target="https://dblp.org/db/conf/fccm/index.html" TargetMode="External"/><Relationship Id="rId1" Type="http://schemas.openxmlformats.org/officeDocument/2006/relationships/hyperlink" Target="https://scholar.google.com/citations?hl=pt-BR&amp;view_op=list_hcore&amp;venue=LMgtaHBu8WIJ.2024" TargetMode="External"/><Relationship Id="rId2" Type="http://schemas.openxmlformats.org/officeDocument/2006/relationships/hyperlink" Target="https://dblp.org/db/conf/dac/index.html" TargetMode="External"/><Relationship Id="rId3" Type="http://schemas.openxmlformats.org/officeDocument/2006/relationships/hyperlink" Target="https://scholar.google.com/citations?hl=pt-BR&amp;vq=eng_computerhardwaredesign&amp;view_op=list_hcore&amp;venue=4CNgrChSeFwJ.2024" TargetMode="External"/><Relationship Id="rId4" Type="http://schemas.openxmlformats.org/officeDocument/2006/relationships/hyperlink" Target="https://dblp.org/db/conf/iccad/index.html" TargetMode="External"/><Relationship Id="rId9" Type="http://schemas.openxmlformats.org/officeDocument/2006/relationships/hyperlink" Target="https://scholar.google.com/citations?hl=pt-BR&amp;vq=eng_computerhardwaredesign&amp;view_op=list_hcore&amp;venue=cP2AyDfWCcQJ.2024" TargetMode="External"/><Relationship Id="rId5" Type="http://schemas.openxmlformats.org/officeDocument/2006/relationships/hyperlink" Target="https://scholar.google.com/citations?hl=pt-BR&amp;vq=eng_computerhardwaredesign&amp;view_op=list_hcore&amp;venue=V91jHpOGqs0J.2024" TargetMode="External"/><Relationship Id="rId6" Type="http://schemas.openxmlformats.org/officeDocument/2006/relationships/hyperlink" Target="https://dblp.org/db/conf/iscas/index.html" TargetMode="External"/><Relationship Id="rId7" Type="http://schemas.openxmlformats.org/officeDocument/2006/relationships/hyperlink" Target="https://scholar.google.com/citations?hl=pt-BR&amp;vq=eng_computerhardwaredesign&amp;view_op=list_hcore&amp;venue=4OI7pMNBopQJ.2024" TargetMode="External"/><Relationship Id="rId8" Type="http://schemas.openxmlformats.org/officeDocument/2006/relationships/hyperlink" Target="https://dblp.org/db/conf/aspdac/index.html" TargetMode="External"/><Relationship Id="rId73" Type="http://schemas.openxmlformats.org/officeDocument/2006/relationships/hyperlink" Target="https://dblp.org/db/conf/dft/index.html" TargetMode="External"/><Relationship Id="rId72" Type="http://schemas.openxmlformats.org/officeDocument/2006/relationships/hyperlink" Target="https://scholar.google.com/citations?hl=pt-BR&amp;view_op=list_hcore&amp;venue=y53zu2cNqqkJ.2024" TargetMode="External"/><Relationship Id="rId75" Type="http://schemas.openxmlformats.org/officeDocument/2006/relationships/hyperlink" Target="https://dblp.org/db/conf/ismvl/index.html" TargetMode="External"/><Relationship Id="rId74" Type="http://schemas.openxmlformats.org/officeDocument/2006/relationships/hyperlink" Target="https://scholar.google.com/citations?hl=pt-BR&amp;view_op=list_hcore&amp;venue=K6125zrCIPYJ.2024" TargetMode="External"/><Relationship Id="rId77" Type="http://schemas.openxmlformats.org/officeDocument/2006/relationships/hyperlink" Target="https://dblp.org/db/conf/icm2/index.html" TargetMode="External"/><Relationship Id="rId76" Type="http://schemas.openxmlformats.org/officeDocument/2006/relationships/hyperlink" Target="https://scholar.google.com/citations?hl=pt-BR&amp;view_op=list_hcore&amp;venue=Im4h2DUUqYEJ.2024" TargetMode="External"/><Relationship Id="rId79" Type="http://schemas.openxmlformats.org/officeDocument/2006/relationships/hyperlink" Target="https://dblp.org/db/conf/sensornets/index.html" TargetMode="External"/><Relationship Id="rId78" Type="http://schemas.openxmlformats.org/officeDocument/2006/relationships/hyperlink" Target="https://scholar.google.com/citations?hl=pt-BR&amp;view_op=list_hcore&amp;venue=xdfwLOgmtocJ.2024" TargetMode="External"/><Relationship Id="rId71" Type="http://schemas.openxmlformats.org/officeDocument/2006/relationships/hyperlink" Target="https://dblp.org/db/conf/ddecs/index.html" TargetMode="External"/><Relationship Id="rId70" Type="http://schemas.openxmlformats.org/officeDocument/2006/relationships/hyperlink" Target="https://scholar.google.com/citations?hl=pt-BR&amp;view_op=list_hcore&amp;venue=7-_qFtHfavIJ.2024" TargetMode="External"/><Relationship Id="rId62" Type="http://schemas.openxmlformats.org/officeDocument/2006/relationships/hyperlink" Target="https://scholar.google.com/citations?hl=pt-BR&amp;view_op=list_hcore&amp;venue=0SR2S8_NVfUJ.2024" TargetMode="External"/><Relationship Id="rId61" Type="http://schemas.openxmlformats.org/officeDocument/2006/relationships/hyperlink" Target="https://dblp.org/db/conf/glvlsi/index.html" TargetMode="External"/><Relationship Id="rId64" Type="http://schemas.openxmlformats.org/officeDocument/2006/relationships/hyperlink" Target="https://scholar.google.com/citations?hl=pt-BR&amp;view_op=list_hcore&amp;venue=t9W1EjUjQrMJ.2024" TargetMode="External"/><Relationship Id="rId63" Type="http://schemas.openxmlformats.org/officeDocument/2006/relationships/hyperlink" Target="https://dblp.org/db/conf/iolts/index.html" TargetMode="External"/><Relationship Id="rId66" Type="http://schemas.openxmlformats.org/officeDocument/2006/relationships/hyperlink" Target="https://scholar.google.com/citations?hl=pt-BR&amp;view_op=list_hcore&amp;venue=VvyAP556dQAJ.2024" TargetMode="External"/><Relationship Id="rId65" Type="http://schemas.openxmlformats.org/officeDocument/2006/relationships/hyperlink" Target="https://dblp.org/db/conf/ets/index.html" TargetMode="External"/><Relationship Id="rId68" Type="http://schemas.openxmlformats.org/officeDocument/2006/relationships/hyperlink" Target="https://scholar.google.com/citations?hl=pt-BR&amp;view_op=list_hcore&amp;venue=SOMKtO20fWEJ.2024" TargetMode="External"/><Relationship Id="rId67" Type="http://schemas.openxmlformats.org/officeDocument/2006/relationships/hyperlink" Target="https://dblp.org/db/conf/norcas/index.html" TargetMode="External"/><Relationship Id="rId60" Type="http://schemas.openxmlformats.org/officeDocument/2006/relationships/hyperlink" Target="https://scholar.google.com/citations?hl=pt-BR&amp;view_op=list_hcore&amp;venue=pmoNNwZxCvUJ.2024" TargetMode="External"/><Relationship Id="rId69" Type="http://schemas.openxmlformats.org/officeDocument/2006/relationships/hyperlink" Target="https://dblp.org/db/conf/vlsi-dat/index.html" TargetMode="External"/><Relationship Id="rId51" Type="http://schemas.openxmlformats.org/officeDocument/2006/relationships/hyperlink" Target="https://scholar.google.com/citations?hl=pt-BR&amp;view_op=list_hcore&amp;venue=PCzjXRB5L8YJ.2024" TargetMode="External"/><Relationship Id="rId50" Type="http://schemas.openxmlformats.org/officeDocument/2006/relationships/hyperlink" Target="https://dblp.org/db/conf/apccas/index.html" TargetMode="External"/><Relationship Id="rId53" Type="http://schemas.openxmlformats.org/officeDocument/2006/relationships/hyperlink" Target="https://dblp.org/db/conf/isqed/index.html" TargetMode="External"/><Relationship Id="rId52" Type="http://schemas.openxmlformats.org/officeDocument/2006/relationships/hyperlink" Target="https://scholar.google.com/citations?hl=pt-BR&amp;view_op=list_hcore&amp;venue=CAKBHPJLxuMJ.2024" TargetMode="External"/><Relationship Id="rId55" Type="http://schemas.openxmlformats.org/officeDocument/2006/relationships/hyperlink" Target="https://dblp.org/db/conf/vts/index.html" TargetMode="External"/><Relationship Id="rId54" Type="http://schemas.openxmlformats.org/officeDocument/2006/relationships/hyperlink" Target="https://scholar.google.com/citations?hl=pt-BR&amp;view_op=list_hcore&amp;venue=JTdOipGTjv4J.2024" TargetMode="External"/><Relationship Id="rId57" Type="http://schemas.openxmlformats.org/officeDocument/2006/relationships/hyperlink" Target="https://dblp.org/db/conf/icdsp/index.html" TargetMode="External"/><Relationship Id="rId56" Type="http://schemas.openxmlformats.org/officeDocument/2006/relationships/hyperlink" Target="https://scholar.google.com/citations?hl=pt-BR&amp;view_op=list_hcore&amp;venue=aJnwgzbfDTUJ.2024" TargetMode="External"/><Relationship Id="rId59" Type="http://schemas.openxmlformats.org/officeDocument/2006/relationships/hyperlink" Target="https://dblp.org/db/conf/essderc/index.html" TargetMode="External"/><Relationship Id="rId58" Type="http://schemas.openxmlformats.org/officeDocument/2006/relationships/hyperlink" Target="https://scholar.google.com/citations?hl=pt-BR&amp;view_op=list_hcore&amp;venue=u1sD_y1HdVYJ.2024" TargetMode="External"/></Relationships>
</file>

<file path=xl/worksheets/_rels/sheet5.xml.rels><?xml version="1.0" encoding="UTF-8" standalone="yes"?><Relationships xmlns="http://schemas.openxmlformats.org/package/2006/relationships"><Relationship Id="rId40" Type="http://schemas.openxmlformats.org/officeDocument/2006/relationships/hyperlink" Target="https://dblp.org/db/conf/isorc/index.html" TargetMode="External"/><Relationship Id="rId42" Type="http://schemas.openxmlformats.org/officeDocument/2006/relationships/hyperlink" Target="https://dblp.org/db/conf/infocom/index.html" TargetMode="External"/><Relationship Id="rId41" Type="http://schemas.openxmlformats.org/officeDocument/2006/relationships/hyperlink" Target="https://scholar.google.com/citations?hl=en&amp;view_op=list_hcore&amp;venue=JMgzZsGYu14J.2024" TargetMode="External"/><Relationship Id="rId44" Type="http://schemas.openxmlformats.org/officeDocument/2006/relationships/hyperlink" Target="https://dblp.org/db/conf/icc/index.html" TargetMode="External"/><Relationship Id="rId43" Type="http://schemas.openxmlformats.org/officeDocument/2006/relationships/hyperlink" Target="https://scholar.google.com/citations?hl=en&amp;view_op=list_hcore&amp;venue=RIbmH16J7yoJ.2024" TargetMode="External"/><Relationship Id="rId46" Type="http://schemas.openxmlformats.org/officeDocument/2006/relationships/hyperlink" Target="https://dblp.org/db/conf/asplos/index.html" TargetMode="External"/><Relationship Id="rId45" Type="http://schemas.openxmlformats.org/officeDocument/2006/relationships/hyperlink" Target="https://scholar.google.com/citations?hl=en&amp;view_op=list_hcore&amp;venue=KlkFB9T8yJEJ.2024" TargetMode="External"/><Relationship Id="rId107" Type="http://schemas.openxmlformats.org/officeDocument/2006/relationships/hyperlink" Target="https://scholar.google.com.br/citations?hl=pt-BR&amp;view_op=list_hcore&amp;venue=LLCdED38YXkJ.2020" TargetMode="External"/><Relationship Id="rId106" Type="http://schemas.openxmlformats.org/officeDocument/2006/relationships/hyperlink" Target="https://scholar.google.com.br/citations?hl=pt-BR&amp;view_op=list_hcore&amp;venue=LLCdED38YXkJ.2020" TargetMode="External"/><Relationship Id="rId105" Type="http://schemas.openxmlformats.org/officeDocument/2006/relationships/hyperlink" Target="https://scholar.google.com.br/citations?hl=pt-BR&amp;view_op=list_hcore&amp;venue=th--Q8zFP48J.2020" TargetMode="External"/><Relationship Id="rId104" Type="http://schemas.openxmlformats.org/officeDocument/2006/relationships/hyperlink" Target="https://scholar.google.com.br/citations?hl=pt-BR&amp;view_op=list_hcore&amp;venue=th--Q8zFP48J.2020" TargetMode="External"/><Relationship Id="rId109" Type="http://schemas.openxmlformats.org/officeDocument/2006/relationships/hyperlink" Target="https://dblp.uni-trier.de/db/conf/pdes/" TargetMode="External"/><Relationship Id="rId108" Type="http://schemas.openxmlformats.org/officeDocument/2006/relationships/hyperlink" Target="https://dblp.uni-trier.de/db/conf/pdes/" TargetMode="External"/><Relationship Id="rId48" Type="http://schemas.openxmlformats.org/officeDocument/2006/relationships/hyperlink" Target="https://dblp.org/db/conf/iscas/index.html" TargetMode="External"/><Relationship Id="rId47" Type="http://schemas.openxmlformats.org/officeDocument/2006/relationships/hyperlink" Target="https://scholar.google.com/citations?hl=en&amp;view_op=list_hcore&amp;venue=V91jHpOGqs0J.2024" TargetMode="External"/><Relationship Id="rId49" Type="http://schemas.openxmlformats.org/officeDocument/2006/relationships/hyperlink" Target="https://scholar.google.com/citations?hl=en&amp;view_op=list_hcore&amp;venue=MVYbyyKMpToJ.2024" TargetMode="External"/><Relationship Id="rId103" Type="http://schemas.openxmlformats.org/officeDocument/2006/relationships/hyperlink" Target="https://dblp.uni-trier.de/db/conf/euc/" TargetMode="External"/><Relationship Id="rId102" Type="http://schemas.openxmlformats.org/officeDocument/2006/relationships/hyperlink" Target="https://dblp.uni-trier.de/db/conf/euc/" TargetMode="External"/><Relationship Id="rId101" Type="http://schemas.openxmlformats.org/officeDocument/2006/relationships/hyperlink" Target="https://scholar.google.com.br/citations?hl=pt-BR&amp;view_op=list_hcore&amp;venue=RIIA6l-Mlx0J.2021" TargetMode="External"/><Relationship Id="rId100" Type="http://schemas.openxmlformats.org/officeDocument/2006/relationships/hyperlink" Target="https://dblp.org/db/conf/peccs/index.html" TargetMode="External"/><Relationship Id="rId31" Type="http://schemas.openxmlformats.org/officeDocument/2006/relationships/hyperlink" Target="https://scholar.google.com/citations?hl=en&amp;view_op=list_hcore&amp;venue=IRnEg4i2mP4J.2024" TargetMode="External"/><Relationship Id="rId30" Type="http://schemas.openxmlformats.org/officeDocument/2006/relationships/hyperlink" Target="https://dblp.org/db/conf/isvlsi/index.html" TargetMode="External"/><Relationship Id="rId33" Type="http://schemas.openxmlformats.org/officeDocument/2006/relationships/hyperlink" Target="https://scholar.google.com/citations?hl=en&amp;view_op=list_hcore&amp;venue=gt4MHCWp_ckJ.2024" TargetMode="External"/><Relationship Id="rId32" Type="http://schemas.openxmlformats.org/officeDocument/2006/relationships/hyperlink" Target="https://dblp.org/db/conf/indin/index.html" TargetMode="External"/><Relationship Id="rId35" Type="http://schemas.openxmlformats.org/officeDocument/2006/relationships/hyperlink" Target="https://scholar.google.com/citations?hl=en&amp;view_op=list_hcore&amp;venue=42wcJhr2yF0J.2024" TargetMode="External"/><Relationship Id="rId34" Type="http://schemas.openxmlformats.org/officeDocument/2006/relationships/hyperlink" Target="https://dblp.org/db/conf/iccd/index.html" TargetMode="External"/><Relationship Id="rId37" Type="http://schemas.openxmlformats.org/officeDocument/2006/relationships/hyperlink" Target="https://scholar.google.com/citations?hl=en&amp;view_op=list_hcore&amp;venue=Mb3P41xz9HIJ.2024" TargetMode="External"/><Relationship Id="rId36" Type="http://schemas.openxmlformats.org/officeDocument/2006/relationships/hyperlink" Target="https://dblp.org/db/conf/dsd/index.html" TargetMode="External"/><Relationship Id="rId39" Type="http://schemas.openxmlformats.org/officeDocument/2006/relationships/hyperlink" Target="https://scholar.google.com/citations?hl=en&amp;view_op=list_hcore&amp;venue=BsXPy-a3od0J.2024" TargetMode="External"/><Relationship Id="rId38" Type="http://schemas.openxmlformats.org/officeDocument/2006/relationships/hyperlink" Target="https://dblp.org/db/conf/rtcsa/index.html" TargetMode="External"/><Relationship Id="rId20" Type="http://schemas.openxmlformats.org/officeDocument/2006/relationships/hyperlink" Target="https://dblp.org/db/conf/sbesc/index.html" TargetMode="External"/><Relationship Id="rId22" Type="http://schemas.openxmlformats.org/officeDocument/2006/relationships/hyperlink" Target="https://dblp.org/db/conf/etfa/index.html" TargetMode="External"/><Relationship Id="rId21" Type="http://schemas.openxmlformats.org/officeDocument/2006/relationships/hyperlink" Target="https://scholar.google.com/citations?hl=en&amp;view_op=list_hcore&amp;venue=oGDa9y0RKw8J.2024" TargetMode="External"/><Relationship Id="rId24" Type="http://schemas.openxmlformats.org/officeDocument/2006/relationships/hyperlink" Target="https://dblp.org/db/conf/wf-iot/index.html" TargetMode="External"/><Relationship Id="rId23" Type="http://schemas.openxmlformats.org/officeDocument/2006/relationships/hyperlink" Target="https://scholar.google.com/citations?hl=en&amp;view_op=list_hcore&amp;venue=gSjQo1cwB88J.2024" TargetMode="External"/><Relationship Id="rId26" Type="http://schemas.openxmlformats.org/officeDocument/2006/relationships/hyperlink" Target="https://dblp.org/db/conf/fccm/index.html" TargetMode="External"/><Relationship Id="rId25" Type="http://schemas.openxmlformats.org/officeDocument/2006/relationships/hyperlink" Target="https://scholar.google.com/citations?hl=en&amp;view_op=list_hcore&amp;venue=uLGTNGzfRS0J.2024" TargetMode="External"/><Relationship Id="rId28" Type="http://schemas.openxmlformats.org/officeDocument/2006/relationships/hyperlink" Target="https://dblp.org/db/conf/iccps/index.html" TargetMode="External"/><Relationship Id="rId27" Type="http://schemas.openxmlformats.org/officeDocument/2006/relationships/hyperlink" Target="https://scholar.google.com/citations?hl=en&amp;view_op=list_hcore&amp;venue=GtwA7m_XqZUJ.2024" TargetMode="External"/><Relationship Id="rId29" Type="http://schemas.openxmlformats.org/officeDocument/2006/relationships/hyperlink" Target="https://scholar.google.com/citations?hl=en&amp;view_op=list_hcore&amp;venue=YnM0PRNMjrsJ.2024" TargetMode="External"/><Relationship Id="rId95" Type="http://schemas.openxmlformats.org/officeDocument/2006/relationships/hyperlink" Target="https://scholar.google.com.br/citations?hl=pt-BR&amp;view_op=list_hcore&amp;venue=z8sUAB07Au0J.2020" TargetMode="External"/><Relationship Id="rId94" Type="http://schemas.openxmlformats.org/officeDocument/2006/relationships/hyperlink" Target="https://dblp.org/db/conf/mcsoc/index.html" TargetMode="External"/><Relationship Id="rId97" Type="http://schemas.openxmlformats.org/officeDocument/2006/relationships/hyperlink" Target="https://scholar.google.com/citations?hl=en&amp;view_op=list_hcore&amp;venue=0iDRKaj8G38J.2024" TargetMode="External"/><Relationship Id="rId96" Type="http://schemas.openxmlformats.org/officeDocument/2006/relationships/hyperlink" Target="https://dblp.org/db/conf/recosoc/index.html" TargetMode="External"/><Relationship Id="rId11" Type="http://schemas.openxmlformats.org/officeDocument/2006/relationships/hyperlink" Target="https://scholar.google.com/citations?hl=en&amp;view_op=list_hcore&amp;venue=7JfwVbgjkZUJ.2024" TargetMode="External"/><Relationship Id="rId99" Type="http://schemas.openxmlformats.org/officeDocument/2006/relationships/hyperlink" Target="https://scholar.google.com.br/citations?hl=pt-BR&amp;view_op=list_hcore&amp;venue=kG0dCDBKbysJ.2020" TargetMode="External"/><Relationship Id="rId10" Type="http://schemas.openxmlformats.org/officeDocument/2006/relationships/hyperlink" Target="https://dblp.org/db/conf/aspdac/index.html" TargetMode="External"/><Relationship Id="rId98" Type="http://schemas.openxmlformats.org/officeDocument/2006/relationships/hyperlink" Target="https://dblp.org/db/conf/arcs/index.html" TargetMode="External"/><Relationship Id="rId13" Type="http://schemas.openxmlformats.org/officeDocument/2006/relationships/hyperlink" Target="https://scholar.google.com/citations?hl=en&amp;view_op=list_hcore&amp;venue=2YPqFanDRcAJ.2024" TargetMode="External"/><Relationship Id="rId12" Type="http://schemas.openxmlformats.org/officeDocument/2006/relationships/hyperlink" Target="https://dblp.org/db/conf/fpl/index.html" TargetMode="External"/><Relationship Id="rId91" Type="http://schemas.openxmlformats.org/officeDocument/2006/relationships/hyperlink" Target="https://scholar.google.com.br/citations?hl=pt-BR&amp;view_op=list_hcore&amp;venue=6GMyv-BpYgwJ.2024" TargetMode="External"/><Relationship Id="rId90" Type="http://schemas.openxmlformats.org/officeDocument/2006/relationships/hyperlink" Target="https://dblp.org/db/conf/drcn/index.html" TargetMode="External"/><Relationship Id="rId93" Type="http://schemas.openxmlformats.org/officeDocument/2006/relationships/hyperlink" Target="https://scholar.google.com.br/citations?hl=pt-BR&amp;view_op=list_hcore&amp;venue=cNDfl82p1FwJ.2024" TargetMode="External"/><Relationship Id="rId92" Type="http://schemas.openxmlformats.org/officeDocument/2006/relationships/hyperlink" Target="https://dblp.org/db/conf/samos/index.html" TargetMode="External"/><Relationship Id="rId15" Type="http://schemas.openxmlformats.org/officeDocument/2006/relationships/hyperlink" Target="https://scholar.google.com/citations?hl=en&amp;view_op=list_hcore&amp;venue=qvvrZOpbLHgJ.2024" TargetMode="External"/><Relationship Id="rId110" Type="http://schemas.openxmlformats.org/officeDocument/2006/relationships/hyperlink" Target="https://dblp.uni-trier.de/db/conf/rsp/" TargetMode="External"/><Relationship Id="rId14" Type="http://schemas.openxmlformats.org/officeDocument/2006/relationships/hyperlink" Target="https://dblp.org/db/conf/rtas/index.html" TargetMode="External"/><Relationship Id="rId17" Type="http://schemas.openxmlformats.org/officeDocument/2006/relationships/hyperlink" Target="https://scholar.google.com/citations?hl=en&amp;view_op=list_hcore&amp;venue=TjHsSEvIdkIJ.2024" TargetMode="External"/><Relationship Id="rId16" Type="http://schemas.openxmlformats.org/officeDocument/2006/relationships/hyperlink" Target="https://dblp.org/db/conf/rtss/index.html" TargetMode="External"/><Relationship Id="rId19" Type="http://schemas.openxmlformats.org/officeDocument/2006/relationships/hyperlink" Target="https://scholar.google.com/citations?hl=en&amp;view_op=list_hcore&amp;venue=EA9qTFRFeoUJ.2024" TargetMode="External"/><Relationship Id="rId18" Type="http://schemas.openxmlformats.org/officeDocument/2006/relationships/hyperlink" Target="https://dblp.org/db/conf/ecrts/index.html" TargetMode="External"/><Relationship Id="rId112" Type="http://schemas.openxmlformats.org/officeDocument/2006/relationships/drawing" Target="../drawings/drawing5.xml"/><Relationship Id="rId111" Type="http://schemas.openxmlformats.org/officeDocument/2006/relationships/hyperlink" Target="https://dblp.uni-trier.de/db/conf/rsp/" TargetMode="External"/><Relationship Id="rId84" Type="http://schemas.openxmlformats.org/officeDocument/2006/relationships/hyperlink" Target="https://dblp.org/db/conf/vlsi/index.html" TargetMode="External"/><Relationship Id="rId83" Type="http://schemas.openxmlformats.org/officeDocument/2006/relationships/hyperlink" Target="https://scholar.google.com.br/citations?hl=pt-BR&amp;view_op=list_hcore&amp;venue=0lu0mPyqVXAJ.2024" TargetMode="External"/><Relationship Id="rId86" Type="http://schemas.openxmlformats.org/officeDocument/2006/relationships/hyperlink" Target="https://dblp.org/db/conf/sies/index.html" TargetMode="External"/><Relationship Id="rId85" Type="http://schemas.openxmlformats.org/officeDocument/2006/relationships/hyperlink" Target="https://scholar.google.com.br/citations?hl=pt-BR&amp;view_op=list_hcore&amp;venue=DCw_w5dKpBoJ.2020" TargetMode="External"/><Relationship Id="rId88" Type="http://schemas.openxmlformats.org/officeDocument/2006/relationships/hyperlink" Target="https://dblp.org/db/conf/mesa/index.html" TargetMode="External"/><Relationship Id="rId87" Type="http://schemas.openxmlformats.org/officeDocument/2006/relationships/hyperlink" Target="https://scholar.google.com.br/citations?hl=pt-BR&amp;view_op=list_hcore&amp;venue=th--Q8zFP48J.2021" TargetMode="External"/><Relationship Id="rId89" Type="http://schemas.openxmlformats.org/officeDocument/2006/relationships/hyperlink" Target="https://scholar.google.com.br/citations?hl=pt-BR&amp;view_op=list_hcore&amp;venue=9giM3hX1gGgJ.2024" TargetMode="External"/><Relationship Id="rId80" Type="http://schemas.openxmlformats.org/officeDocument/2006/relationships/hyperlink" Target="https://dblp.org/db/conf/rcar/index.html" TargetMode="External"/><Relationship Id="rId82" Type="http://schemas.openxmlformats.org/officeDocument/2006/relationships/hyperlink" Target="https://dblp.org/db/conf/arc/index.html" TargetMode="External"/><Relationship Id="rId81" Type="http://schemas.openxmlformats.org/officeDocument/2006/relationships/hyperlink" Target="https://scholar.google.com.br/citations?hl=pt-BR&amp;view_op=list_hcore&amp;venue=YfOo-Q2IJm8J.2024" TargetMode="External"/><Relationship Id="rId1" Type="http://schemas.openxmlformats.org/officeDocument/2006/relationships/hyperlink" Target="https://scholar.google.com/citations?hl=en&amp;view_op=list_hcore&amp;venue=LMgtaHBu8WIJ.2024" TargetMode="External"/><Relationship Id="rId2" Type="http://schemas.openxmlformats.org/officeDocument/2006/relationships/hyperlink" Target="https://dblp.org/db/conf/dac/index.html" TargetMode="External"/><Relationship Id="rId3" Type="http://schemas.openxmlformats.org/officeDocument/2006/relationships/hyperlink" Target="https://scholar.google.com/citations?hl=en&amp;view_op=list_hcore&amp;venue=8LhhnAnPYO8J.2024" TargetMode="External"/><Relationship Id="rId4" Type="http://schemas.openxmlformats.org/officeDocument/2006/relationships/hyperlink" Target="https://dblp.org/db/conf/eurosys/index.html" TargetMode="External"/><Relationship Id="rId9" Type="http://schemas.openxmlformats.org/officeDocument/2006/relationships/hyperlink" Target="https://scholar.google.com/citations?hl=en&amp;view_op=list_hcore&amp;venue=4OI7pMNBopQJ.2024" TargetMode="External"/><Relationship Id="rId5" Type="http://schemas.openxmlformats.org/officeDocument/2006/relationships/hyperlink" Target="https://scholar.google.com/citations?hl=en&amp;view_op=list_hcore&amp;venue=cP2AyDfWCcQJ.2024" TargetMode="External"/><Relationship Id="rId6" Type="http://schemas.openxmlformats.org/officeDocument/2006/relationships/hyperlink" Target="https://dblp.org/db/conf/date/index.html" TargetMode="External"/><Relationship Id="rId7" Type="http://schemas.openxmlformats.org/officeDocument/2006/relationships/hyperlink" Target="https://scholar.google.com/citations?hl=en&amp;view_op=list_hcore&amp;venue=X39h_ye2QL4J.2024" TargetMode="External"/><Relationship Id="rId8" Type="http://schemas.openxmlformats.org/officeDocument/2006/relationships/hyperlink" Target="https://dblp.org/db/conf/fpga/index.html" TargetMode="External"/><Relationship Id="rId73" Type="http://schemas.openxmlformats.org/officeDocument/2006/relationships/hyperlink" Target="https://scholar.google.com.br/citations?hl=pt-BR&amp;view_op=list_hcore&amp;venue=9Io6PPD79ysJ.2024" TargetMode="External"/><Relationship Id="rId72" Type="http://schemas.openxmlformats.org/officeDocument/2006/relationships/hyperlink" Target="https://dblp.org/db/conf/ict/index.html" TargetMode="External"/><Relationship Id="rId75" Type="http://schemas.openxmlformats.org/officeDocument/2006/relationships/hyperlink" Target="https://scholar.google.com.br/citations?hl=pt-BR&amp;view_op=list_hcore&amp;venue=UpYWQKAQb9IJ.2024" TargetMode="External"/><Relationship Id="rId74" Type="http://schemas.openxmlformats.org/officeDocument/2006/relationships/hyperlink" Target="https://dblp.org/db/conf/icecsys/index.html" TargetMode="External"/><Relationship Id="rId77" Type="http://schemas.openxmlformats.org/officeDocument/2006/relationships/hyperlink" Target="https://scholar.google.com.br/citations?hl=pt-BR&amp;view_op=list_hcore&amp;venue=JO6ZL899IMAJ.2024" TargetMode="External"/><Relationship Id="rId76" Type="http://schemas.openxmlformats.org/officeDocument/2006/relationships/hyperlink" Target="https://dblp.org/db/conf/wfcs/index.html" TargetMode="External"/><Relationship Id="rId79" Type="http://schemas.openxmlformats.org/officeDocument/2006/relationships/hyperlink" Target="https://scholar.google.com.br/citations?hl=pt-BR&amp;view_op=list_hcore&amp;venue=LLCdED38YXkJ.2024" TargetMode="External"/><Relationship Id="rId78" Type="http://schemas.openxmlformats.org/officeDocument/2006/relationships/hyperlink" Target="https://dblp.org/db/conf/dsrt/index.html" TargetMode="External"/><Relationship Id="rId71" Type="http://schemas.openxmlformats.org/officeDocument/2006/relationships/hyperlink" Target="https://scholar.google.com.br/citations?hl=pt-BR&amp;view_op=list_hcore&amp;venue=rka9NFgR5UwJ.2024" TargetMode="External"/><Relationship Id="rId70" Type="http://schemas.openxmlformats.org/officeDocument/2006/relationships/hyperlink" Target="https://scholar.google.com.br/citations?hl=pt-BR&amp;view_op=list_hcore&amp;venue=tS8iHNcH760J.2021" TargetMode="External"/><Relationship Id="rId62" Type="http://schemas.openxmlformats.org/officeDocument/2006/relationships/hyperlink" Target="https://dblp.org/db/conf/wosp/index.html" TargetMode="External"/><Relationship Id="rId61" Type="http://schemas.openxmlformats.org/officeDocument/2006/relationships/hyperlink" Target="https://scholar.google.com/citations?hl=en&amp;view_op=list_hcore&amp;venue=nS824tflG3QJ.2024" TargetMode="External"/><Relationship Id="rId64" Type="http://schemas.openxmlformats.org/officeDocument/2006/relationships/hyperlink" Target="https://dblp.org/db/conf/isie/index.html" TargetMode="External"/><Relationship Id="rId63" Type="http://schemas.openxmlformats.org/officeDocument/2006/relationships/hyperlink" Target="https://scholar.google.com/citations?hl=en&amp;view_op=list_hcore&amp;venue=nvZjR0BHub4J.2024" TargetMode="External"/><Relationship Id="rId66" Type="http://schemas.openxmlformats.org/officeDocument/2006/relationships/hyperlink" Target="https://dblp.org/db/conf/middleware/index.html" TargetMode="External"/><Relationship Id="rId65" Type="http://schemas.openxmlformats.org/officeDocument/2006/relationships/hyperlink" Target="https://scholar.google.com.br/citations?hl=pt-BR&amp;view_op=list_hcore&amp;venue=NA4iP0Rm0toJ.2024" TargetMode="External"/><Relationship Id="rId68" Type="http://schemas.openxmlformats.org/officeDocument/2006/relationships/hyperlink" Target="https://scholar.google.com.br/citations?hl=pt-BR&amp;view_op=list_hcore&amp;venue=8awDgn_OhGYJ.2024" TargetMode="External"/><Relationship Id="rId67" Type="http://schemas.openxmlformats.org/officeDocument/2006/relationships/hyperlink" Target="https://scholar.google.com.br/citations?hl=pt-BR&amp;view_op=list_hcore&amp;venue=j_CZ9hAXkzIJ.2022" TargetMode="External"/><Relationship Id="rId60" Type="http://schemas.openxmlformats.org/officeDocument/2006/relationships/hyperlink" Target="https://dblp.org/db/conf/wcnc/index.html" TargetMode="External"/><Relationship Id="rId69" Type="http://schemas.openxmlformats.org/officeDocument/2006/relationships/hyperlink" Target="https://dblp.org/db/conf/asap/index.html" TargetMode="External"/><Relationship Id="rId51" Type="http://schemas.openxmlformats.org/officeDocument/2006/relationships/hyperlink" Target="https://scholar.google.com/citations?hl=en&amp;view_op=list_hcore&amp;venue=qJlcVei6YeoJ.2024" TargetMode="External"/><Relationship Id="rId50" Type="http://schemas.openxmlformats.org/officeDocument/2006/relationships/hyperlink" Target="https://dblp.org/db/conf/dsn/index.html" TargetMode="External"/><Relationship Id="rId53" Type="http://schemas.openxmlformats.org/officeDocument/2006/relationships/hyperlink" Target="https://scholar.google.com.br/citations?hl=pt-BR&amp;view_op=list_hcore&amp;venue=bIF9l832asoJ.2019" TargetMode="External"/><Relationship Id="rId52" Type="http://schemas.openxmlformats.org/officeDocument/2006/relationships/hyperlink" Target="https://dblp.org/db/conf/smc/index.html" TargetMode="External"/><Relationship Id="rId55" Type="http://schemas.openxmlformats.org/officeDocument/2006/relationships/hyperlink" Target="https://dblp.org/db/conf/case/index.html" TargetMode="External"/><Relationship Id="rId54" Type="http://schemas.openxmlformats.org/officeDocument/2006/relationships/hyperlink" Target="https://scholar.google.com/citations?hl=en&amp;view_op=list_hcore&amp;venue=iJOqTiZA0TgJ.2024" TargetMode="External"/><Relationship Id="rId57" Type="http://schemas.openxmlformats.org/officeDocument/2006/relationships/hyperlink" Target="https://dblp.org/db/conf/iecon/index.html" TargetMode="External"/><Relationship Id="rId56" Type="http://schemas.openxmlformats.org/officeDocument/2006/relationships/hyperlink" Target="https://scholar.google.com.br/citations?hl=pt-BR&amp;view_op=list_hcore&amp;venue=j7dS7aP2eTEJ.2024" TargetMode="External"/><Relationship Id="rId59" Type="http://schemas.openxmlformats.org/officeDocument/2006/relationships/hyperlink" Target="https://dblp.org/db/conf/iscc/index.html" TargetMode="External"/><Relationship Id="rId58" Type="http://schemas.openxmlformats.org/officeDocument/2006/relationships/hyperlink" Target="https://scholar.google.com.br/citations?hl=pt-BR&amp;view_op=list_hcore&amp;venue=0jK8bHjCH68J.2024" TargetMode="External"/></Relationships>
</file>

<file path=xl/worksheets/_rels/sheet6.xml.rels><?xml version="1.0" encoding="UTF-8" standalone="yes"?><Relationships xmlns="http://schemas.openxmlformats.org/package/2006/relationships"><Relationship Id="rId40" Type="http://schemas.openxmlformats.org/officeDocument/2006/relationships/hyperlink" Target="https://scholar.google.com/citations?hl=en&amp;view_op=list_hcore&amp;venue=6SgK_Z8h2_wJ.2024" TargetMode="External"/><Relationship Id="rId42" Type="http://schemas.openxmlformats.org/officeDocument/2006/relationships/hyperlink" Target="https://scholar.google.com/citations?hl=en&amp;vq=eng&amp;view_op=list_hcore&amp;venue=0032SoU2xY4J.2024" TargetMode="External"/><Relationship Id="rId41" Type="http://schemas.openxmlformats.org/officeDocument/2006/relationships/hyperlink" Target="https://dblp.org/db/conf/nips/index.html" TargetMode="External"/><Relationship Id="rId44" Type="http://schemas.openxmlformats.org/officeDocument/2006/relationships/hyperlink" Target="https://scholar.google.com/citations?hl=en&amp;view_op=list_hcore&amp;venue=Umlb1kMURG4J.2024" TargetMode="External"/><Relationship Id="rId43" Type="http://schemas.openxmlformats.org/officeDocument/2006/relationships/hyperlink" Target="https://dblp.org/db/conf/iclr/index.html" TargetMode="External"/><Relationship Id="rId46" Type="http://schemas.openxmlformats.org/officeDocument/2006/relationships/hyperlink" Target="https://scholar.google.com/citations?hl=en&amp;view_op=list_hcore&amp;venue=wL2oxc9mT4YJ.2024" TargetMode="External"/><Relationship Id="rId45" Type="http://schemas.openxmlformats.org/officeDocument/2006/relationships/hyperlink" Target="https://dblp.org/db/conf/iccv/index.html" TargetMode="External"/><Relationship Id="rId107" Type="http://schemas.openxmlformats.org/officeDocument/2006/relationships/hyperlink" Target="https://dblp.org/db/conf/smc/index.html" TargetMode="External"/><Relationship Id="rId106" Type="http://schemas.openxmlformats.org/officeDocument/2006/relationships/hyperlink" Target="https://scholar.google.com/citations?hl=pt-BR&amp;view_op=list_hcore&amp;venue=qJlcVei6YeoJ.2024" TargetMode="External"/><Relationship Id="rId105" Type="http://schemas.openxmlformats.org/officeDocument/2006/relationships/hyperlink" Target="https://dblp.org/db/conf/mva/index.html" TargetMode="External"/><Relationship Id="rId104" Type="http://schemas.openxmlformats.org/officeDocument/2006/relationships/hyperlink" Target="https://scholar.google.com/citations?hl=en&amp;view_op=list_hcore&amp;venue=jv1gvzv4-LgJ.2024" TargetMode="External"/><Relationship Id="rId109" Type="http://schemas.openxmlformats.org/officeDocument/2006/relationships/hyperlink" Target="https://dblp.org/db/conf/mir/index.html" TargetMode="External"/><Relationship Id="rId108" Type="http://schemas.openxmlformats.org/officeDocument/2006/relationships/hyperlink" Target="https://scholar.google.com/citations?hl=en&amp;view_op=list_hcore&amp;venue=_3Q9NfFmueMJ.2024" TargetMode="External"/><Relationship Id="rId48" Type="http://schemas.openxmlformats.org/officeDocument/2006/relationships/hyperlink" Target="https://scholar.google.com/citations?hl=en&amp;view_op=list_hcore&amp;venue=PV9sQN5dnPsJ.2024" TargetMode="External"/><Relationship Id="rId47" Type="http://schemas.openxmlformats.org/officeDocument/2006/relationships/hyperlink" Target="https://dblp.org/db/conf/icml/index.html" TargetMode="External"/><Relationship Id="rId49" Type="http://schemas.openxmlformats.org/officeDocument/2006/relationships/hyperlink" Target="https://dblp.org/db/conf/aaai/index.html" TargetMode="External"/><Relationship Id="rId103" Type="http://schemas.openxmlformats.org/officeDocument/2006/relationships/hyperlink" Target="https://dblp.org/db/conf/icmla/index.html" TargetMode="External"/><Relationship Id="rId102" Type="http://schemas.openxmlformats.org/officeDocument/2006/relationships/hyperlink" Target="https://scholar.google.com/citations?hl=en&amp;view_op=list_hcore&amp;venue=jv1gvzv4-LgJ.2024" TargetMode="External"/><Relationship Id="rId101" Type="http://schemas.openxmlformats.org/officeDocument/2006/relationships/hyperlink" Target="https://dblp.org/db/conf/eusipco/index.html" TargetMode="External"/><Relationship Id="rId100" Type="http://schemas.openxmlformats.org/officeDocument/2006/relationships/hyperlink" Target="https://scholar.google.com/citations?hl=en&amp;view_op=list_hcore&amp;venue=oJ-ZYoNCyCQJ.2024" TargetMode="External"/><Relationship Id="rId31" Type="http://schemas.openxmlformats.org/officeDocument/2006/relationships/hyperlink" Target="https://dblp.org/db/conf/vissym/index.html" TargetMode="External"/><Relationship Id="rId30" Type="http://schemas.openxmlformats.org/officeDocument/2006/relationships/hyperlink" Target="https://scholar.google.com/scholar?hl=pt-BR&amp;as_sdt=0%2C5&amp;as_ylo=2019&amp;q=source%3A+Eurographics+source%3A+Conference+source%3A+on+source%3A+Visualization&amp;btnG=" TargetMode="External"/><Relationship Id="rId33" Type="http://schemas.openxmlformats.org/officeDocument/2006/relationships/hyperlink" Target="https://dblp.org/db/conf/cvpr/cvprw2024.html" TargetMode="External"/><Relationship Id="rId32" Type="http://schemas.openxmlformats.org/officeDocument/2006/relationships/hyperlink" Target="https://scholar.google.com/citations?hl=en&amp;view_op=list_hcore&amp;venue=ihIDe6biV1gJ.2024" TargetMode="External"/><Relationship Id="rId35" Type="http://schemas.openxmlformats.org/officeDocument/2006/relationships/hyperlink" Target="https://dblp.org/db/conf/iccvw/iccvw2021.html" TargetMode="External"/><Relationship Id="rId34" Type="http://schemas.openxmlformats.org/officeDocument/2006/relationships/hyperlink" Target="https://scholar.google.com/citations?hl=en&amp;view_op=list_hcore&amp;venue=1h7Rot6-J5EJ.2024" TargetMode="External"/><Relationship Id="rId37" Type="http://schemas.openxmlformats.org/officeDocument/2006/relationships/hyperlink" Target="https://dblp.org/db/conf/pacificvis/index.html" TargetMode="External"/><Relationship Id="rId36" Type="http://schemas.openxmlformats.org/officeDocument/2006/relationships/hyperlink" Target="https://scholar.google.com/citations?hl=en&amp;view_op=list_hcore&amp;venue=eyKsRVMpGxgJ.2024" TargetMode="External"/><Relationship Id="rId39" Type="http://schemas.openxmlformats.org/officeDocument/2006/relationships/hyperlink" Target="https://dblp.org/db/conf/cvpr/index.html" TargetMode="External"/><Relationship Id="rId38" Type="http://schemas.openxmlformats.org/officeDocument/2006/relationships/hyperlink" Target="https://scholar.google.com/citations?hl=en&amp;vq=eng&amp;view_op=list_hcore&amp;venue=FXe-a9w0eycJ.2024" TargetMode="External"/><Relationship Id="rId20" Type="http://schemas.openxmlformats.org/officeDocument/2006/relationships/hyperlink" Target="https://dblp.org/db/conf/dgmm/index.html" TargetMode="External"/><Relationship Id="rId22" Type="http://schemas.openxmlformats.org/officeDocument/2006/relationships/hyperlink" Target="https://dblp.org/db/conf/sibgrapi/index.html" TargetMode="External"/><Relationship Id="rId21" Type="http://schemas.openxmlformats.org/officeDocument/2006/relationships/hyperlink" Target="https://scholar.google.com/citations?hl=en&amp;view_op=list_hcore&amp;venue=sPLlun2OWTwJ.2024" TargetMode="External"/><Relationship Id="rId24" Type="http://schemas.openxmlformats.org/officeDocument/2006/relationships/hyperlink" Target="https://dblp.org/db/conf/visualization/index.html" TargetMode="External"/><Relationship Id="rId23" Type="http://schemas.openxmlformats.org/officeDocument/2006/relationships/hyperlink" Target="https://scholar.google.com/citations?hl=en&amp;view_op=list_hcore&amp;venue=ISkzejISPjIJ.2024" TargetMode="External"/><Relationship Id="rId129" Type="http://schemas.openxmlformats.org/officeDocument/2006/relationships/hyperlink" Target="https://scholar.google.com/citations?hl=en&amp;view_op=list_hcore&amp;venue=G2W6LcMuSNwJ.2024" TargetMode="External"/><Relationship Id="rId128" Type="http://schemas.openxmlformats.org/officeDocument/2006/relationships/hyperlink" Target="https://dblp.org/db/conf/dicta/index.html" TargetMode="External"/><Relationship Id="rId127" Type="http://schemas.openxmlformats.org/officeDocument/2006/relationships/hyperlink" Target="https://scholar.google.com.br/citations?hl=pt-BR&amp;view_op=list_hcore&amp;venue=d1tCC6BVFa8J.2024" TargetMode="External"/><Relationship Id="rId126" Type="http://schemas.openxmlformats.org/officeDocument/2006/relationships/hyperlink" Target="https://scholar.google.com/citations?hl=en&amp;view_op=list_hcore&amp;venue=NKnvW5mBMQcJ.2024" TargetMode="External"/><Relationship Id="rId26" Type="http://schemas.openxmlformats.org/officeDocument/2006/relationships/hyperlink" Target="https://dblp.org/db/journals/pacmcgit/index.html" TargetMode="External"/><Relationship Id="rId121" Type="http://schemas.openxmlformats.org/officeDocument/2006/relationships/hyperlink" Target="https://dblp.org/db/conf/iva/index.html" TargetMode="External"/><Relationship Id="rId25" Type="http://schemas.openxmlformats.org/officeDocument/2006/relationships/hyperlink" Target="https://scholar.google.com.br/citations?hl=pt-BR&amp;view_op=list_hcore&amp;venue=4ZH62wP1FOcJ.2024" TargetMode="External"/><Relationship Id="rId120" Type="http://schemas.openxmlformats.org/officeDocument/2006/relationships/hyperlink" Target="https://scholar.google.com/citations?hl=en&amp;view_op=list_hcore&amp;venue=Zy6oN9uVoooJ.2024" TargetMode="External"/><Relationship Id="rId28" Type="http://schemas.openxmlformats.org/officeDocument/2006/relationships/hyperlink" Target="https://scholar.google.com/scholar?q=IAPR+International+Conference+on+Biometrics&amp;hl=pt-BR&amp;as_sdt=0%2C5&amp;as_ylo=2019&amp;as_yhi=" TargetMode="External"/><Relationship Id="rId27" Type="http://schemas.openxmlformats.org/officeDocument/2006/relationships/hyperlink" Target="https://scholar.google.com/citations?hl=en&amp;vq=eng_computergraphics&amp;view_op=list_hcore&amp;venue=dXZdebXoOt0J.2024" TargetMode="External"/><Relationship Id="rId125" Type="http://schemas.openxmlformats.org/officeDocument/2006/relationships/hyperlink" Target="https://dblp.org/db/conf/wifs/index.html" TargetMode="External"/><Relationship Id="rId29" Type="http://schemas.openxmlformats.org/officeDocument/2006/relationships/hyperlink" Target="https://dblp.org/db/conf/icb/index.html" TargetMode="External"/><Relationship Id="rId124" Type="http://schemas.openxmlformats.org/officeDocument/2006/relationships/hyperlink" Target="https://scholar.google.com.br/citations?hl=pt-BR&amp;view_op=list_hcore&amp;venue=mvVvdS_cvHIJ.2024" TargetMode="External"/><Relationship Id="rId123" Type="http://schemas.openxmlformats.org/officeDocument/2006/relationships/hyperlink" Target="https://dblp.org/db/conf/bigmm/index.html" TargetMode="External"/><Relationship Id="rId122" Type="http://schemas.openxmlformats.org/officeDocument/2006/relationships/hyperlink" Target="https://scholar.google.com/citations?hl=pt-BR&amp;view_op=list_hcore&amp;venue=et6XnSIzrWkJ.2024" TargetMode="External"/><Relationship Id="rId95" Type="http://schemas.openxmlformats.org/officeDocument/2006/relationships/hyperlink" Target="https://dblp.org/db/conf/fgr/index.html" TargetMode="External"/><Relationship Id="rId94" Type="http://schemas.openxmlformats.org/officeDocument/2006/relationships/hyperlink" Target="https://scholar.google.com/citations?hl=en&amp;view_op=list_hcore&amp;venue=tOKomDtxujwJ.2024" TargetMode="External"/><Relationship Id="rId97" Type="http://schemas.openxmlformats.org/officeDocument/2006/relationships/hyperlink" Target="https://dblp.org/db/conf/igarss/index.html" TargetMode="External"/><Relationship Id="rId96" Type="http://schemas.openxmlformats.org/officeDocument/2006/relationships/hyperlink" Target="https://scholar.google.com/citations?hl=en&amp;view_op=list_hcore&amp;venue=D2xvUFgEEJEJ.2024" TargetMode="External"/><Relationship Id="rId11" Type="http://schemas.openxmlformats.org/officeDocument/2006/relationships/hyperlink" Target="https://scholar.google.com/citations?hl=en&amp;view_op=list_hcore&amp;venue=GsvS_jxfxCoJ.2024" TargetMode="External"/><Relationship Id="rId99" Type="http://schemas.openxmlformats.org/officeDocument/2006/relationships/hyperlink" Target="https://dblp.org/db/conf/accv/index.html" TargetMode="External"/><Relationship Id="rId10" Type="http://schemas.openxmlformats.org/officeDocument/2006/relationships/hyperlink" Target="https://dblp.org/db/conf/iciap/index.html" TargetMode="External"/><Relationship Id="rId98" Type="http://schemas.openxmlformats.org/officeDocument/2006/relationships/hyperlink" Target="https://scholar.google.com/citations?hl=en&amp;view_op=list_hcore&amp;venue=C6G2a_KY88AJ.2024" TargetMode="External"/><Relationship Id="rId13" Type="http://schemas.openxmlformats.org/officeDocument/2006/relationships/hyperlink" Target="https://scholar.google.com/citations?hl=en&amp;view_op=list_hcore&amp;venue=-G7ZDWMFougJ.2024" TargetMode="External"/><Relationship Id="rId12" Type="http://schemas.openxmlformats.org/officeDocument/2006/relationships/hyperlink" Target="https://dblp.org/db/conf/iwssip/index.html" TargetMode="External"/><Relationship Id="rId91" Type="http://schemas.openxmlformats.org/officeDocument/2006/relationships/hyperlink" Target="https://dblp.org/db/conf/vtc/index.html" TargetMode="External"/><Relationship Id="rId90" Type="http://schemas.openxmlformats.org/officeDocument/2006/relationships/hyperlink" Target="https://scholar.google.com/citations?hl=en&amp;view_op=list_hcore&amp;venue=Y0aL1yWCdxkJ.2024" TargetMode="External"/><Relationship Id="rId93" Type="http://schemas.openxmlformats.org/officeDocument/2006/relationships/hyperlink" Target="https://dblp.org/db/conf/icmcs/index.html" TargetMode="External"/><Relationship Id="rId92" Type="http://schemas.openxmlformats.org/officeDocument/2006/relationships/hyperlink" Target="https://scholar.google.com/citations?hl=en&amp;view_op=list_hcore&amp;venue=xYXdFLRJbCMJ.2024" TargetMode="External"/><Relationship Id="rId118" Type="http://schemas.openxmlformats.org/officeDocument/2006/relationships/hyperlink" Target="https://scholar.google.com/citations?hl=en&amp;view_op=list_hcore&amp;venue=lj8GV_9F0b8J.2024" TargetMode="External"/><Relationship Id="rId117" Type="http://schemas.openxmlformats.org/officeDocument/2006/relationships/hyperlink" Target="https://dblp.org/db/conf/vrst/index.html" TargetMode="External"/><Relationship Id="rId116" Type="http://schemas.openxmlformats.org/officeDocument/2006/relationships/hyperlink" Target="https://scholar.google.com/citations?hl=en&amp;view_op=search_venues&amp;vq=ACM+Symposium+on+Virtual+Reality+Software+and+Technology&amp;btnG=" TargetMode="External"/><Relationship Id="rId115" Type="http://schemas.openxmlformats.org/officeDocument/2006/relationships/hyperlink" Target="https://dblp.org/db/conf/ictai/index.html" TargetMode="External"/><Relationship Id="rId119" Type="http://schemas.openxmlformats.org/officeDocument/2006/relationships/hyperlink" Target="https://dblp.org/db/conf/avss/index.html" TargetMode="External"/><Relationship Id="rId15" Type="http://schemas.openxmlformats.org/officeDocument/2006/relationships/hyperlink" Target="https://scholar.google.com.br/citations?hl=pt-BR&amp;view_op=list_hcore&amp;venue=ulaSNA5ZgjEJ.2024" TargetMode="External"/><Relationship Id="rId110" Type="http://schemas.openxmlformats.org/officeDocument/2006/relationships/hyperlink" Target="https://scholar.google.com/citations?hl=en&amp;view_op=list_hcore&amp;venue=FetF6O7LEY8J.2024" TargetMode="External"/><Relationship Id="rId14" Type="http://schemas.openxmlformats.org/officeDocument/2006/relationships/hyperlink" Target="https://dblp.org/db/conf/ciarp/index.html" TargetMode="External"/><Relationship Id="rId17" Type="http://schemas.openxmlformats.org/officeDocument/2006/relationships/hyperlink" Target="https://scholar.google.com.br/scholar?hl=pt-BR&amp;as_sdt=0%2C5&amp;as_ylo=2019&amp;as_yhi=2024&amp;as_vis=1&amp;q=source%3AWorkshop+source%3Ade+source%3AVis%C3%A3o+source%3AComputacional&amp;btnG=2024" TargetMode="External"/><Relationship Id="rId16" Type="http://schemas.openxmlformats.org/officeDocument/2006/relationships/hyperlink" Target="https://dblp.org/db/conf/grapp/index.html" TargetMode="External"/><Relationship Id="rId19" Type="http://schemas.openxmlformats.org/officeDocument/2006/relationships/hyperlink" Target="https://scholar.google.com/scholar?hl=pt-BR&amp;as_sdt=0%2C5&amp;as_ylo=2019&amp;q=source%3A+Conference+source%3A+Discrete+source%3A+Geometry+source+Mathematical+source%3A+Morphology&amp;btnG=" TargetMode="External"/><Relationship Id="rId114" Type="http://schemas.openxmlformats.org/officeDocument/2006/relationships/hyperlink" Target="https://scholar.google.com.br/citations?hl=pt-BR&amp;view_op=list_hcore&amp;venue=7SUUxQF2w2cJ.2024" TargetMode="External"/><Relationship Id="rId18" Type="http://schemas.openxmlformats.org/officeDocument/2006/relationships/hyperlink" Target="https://sol.sbc.org.br/index.php/wvc" TargetMode="External"/><Relationship Id="rId113" Type="http://schemas.openxmlformats.org/officeDocument/2006/relationships/hyperlink" Target="https://dblp.org/db/conf/visapp/index.html" TargetMode="External"/><Relationship Id="rId112" Type="http://schemas.openxmlformats.org/officeDocument/2006/relationships/hyperlink" Target="https://scholar.google.com/citations?hl=en&amp;view_op=list_hcore&amp;venue=ljGmmUmHfUwJ.2024" TargetMode="External"/><Relationship Id="rId111" Type="http://schemas.openxmlformats.org/officeDocument/2006/relationships/hyperlink" Target="https://dblp.org/db/conf/btas/index.html" TargetMode="External"/><Relationship Id="rId84" Type="http://schemas.openxmlformats.org/officeDocument/2006/relationships/hyperlink" Target="https://scholar.google.com/citations?hl=en&amp;view_op=list_hcore&amp;venue=HF-0Hiax7t8J.2024" TargetMode="External"/><Relationship Id="rId83" Type="http://schemas.openxmlformats.org/officeDocument/2006/relationships/hyperlink" Target="https://dblp.org/db/conf/3dim/index.html" TargetMode="External"/><Relationship Id="rId86" Type="http://schemas.openxmlformats.org/officeDocument/2006/relationships/hyperlink" Target="https://scholar.google.com/citations?hl=en&amp;view_op=list_hcore&amp;venue=la0gAKbHmIkJ.2024" TargetMode="External"/><Relationship Id="rId85" Type="http://schemas.openxmlformats.org/officeDocument/2006/relationships/hyperlink" Target="https://dblp.org/db/conf/icdar/index.html" TargetMode="External"/><Relationship Id="rId88" Type="http://schemas.openxmlformats.org/officeDocument/2006/relationships/hyperlink" Target="https://scholar.google.com/citations?hl=en&amp;view_op=list_hcore&amp;venue=pQVER_ii7sMJ.2024" TargetMode="External"/><Relationship Id="rId150" Type="http://schemas.openxmlformats.org/officeDocument/2006/relationships/hyperlink" Target="https://dblp.org/db/conf/larc/index.html" TargetMode="External"/><Relationship Id="rId87" Type="http://schemas.openxmlformats.org/officeDocument/2006/relationships/hyperlink" Target="https://dblp.org/db/conf/embc/index.html" TargetMode="External"/><Relationship Id="rId89" Type="http://schemas.openxmlformats.org/officeDocument/2006/relationships/hyperlink" Target="https://dblp.org/db/conf/gecco/index.html" TargetMode="External"/><Relationship Id="rId80" Type="http://schemas.openxmlformats.org/officeDocument/2006/relationships/hyperlink" Target="https://scholar.google.com/citations?hl=en&amp;view_op=list_hcore&amp;venue=BvOzx47YdqIJ.2024" TargetMode="External"/><Relationship Id="rId82" Type="http://schemas.openxmlformats.org/officeDocument/2006/relationships/hyperlink" Target="https://scholar.google.com/citations?hl=en&amp;view_op=list_hcore&amp;venue=_QeiDtrgUSoJ.2024" TargetMode="External"/><Relationship Id="rId81" Type="http://schemas.openxmlformats.org/officeDocument/2006/relationships/hyperlink" Target="https://dblp.org/db/conf/isbi/index.html" TargetMode="External"/><Relationship Id="rId1" Type="http://schemas.openxmlformats.org/officeDocument/2006/relationships/hyperlink" Target="https://scholar.google.com/scholar?q=ACM+Symposium+on+Interactive+3D+Graphics+and+Games&amp;hl=pt-BR&amp;as_sdt=0%2C5&amp;as_ylo=2018&amp;as_yhi=" TargetMode="External"/><Relationship Id="rId2" Type="http://schemas.openxmlformats.org/officeDocument/2006/relationships/hyperlink" Target="https://dblp.org/db/conf/si3d/index.html" TargetMode="External"/><Relationship Id="rId3" Type="http://schemas.openxmlformats.org/officeDocument/2006/relationships/hyperlink" Target="https://dblp.org/db/conf/caip/index.html" TargetMode="External"/><Relationship Id="rId149" Type="http://schemas.openxmlformats.org/officeDocument/2006/relationships/hyperlink" Target="https://scholar.google.com/scholar?hl=pt-BR&amp;as_sdt=0%2C5&amp;as_ylo=2019&amp;as_yhi=2024&amp;as_vis=1&amp;q=source%3ALatin+source%3AAmerican+source%3ARobotics+source%3ASymposium&amp;btnG=2024" TargetMode="External"/><Relationship Id="rId4" Type="http://schemas.openxmlformats.org/officeDocument/2006/relationships/hyperlink" Target="https://scholar.google.com/scholar?hl=pt-BR&amp;as_sdt=0,5&amp;as_ylo=2019&amp;as_yhi=2024&amp;q=symposium+on+computer+animation" TargetMode="External"/><Relationship Id="rId148" Type="http://schemas.openxmlformats.org/officeDocument/2006/relationships/hyperlink" Target="https://scholar.google.com/scholar?hl=pt-BR&amp;as_sdt=0%2C5&amp;as_ylo=2019&amp;q=source%3ABrazilian+source%3ASymposium+source%3Aon+source%3ARobotics&amp;btnG=2024" TargetMode="External"/><Relationship Id="rId9" Type="http://schemas.openxmlformats.org/officeDocument/2006/relationships/hyperlink" Target="https://scholar.google.com/citations?hl=en&amp;view_op=list_hcore&amp;venue=KC9Tb2aNScwJ.2024" TargetMode="External"/><Relationship Id="rId143" Type="http://schemas.openxmlformats.org/officeDocument/2006/relationships/hyperlink" Target="https://dblp.org/db/conf/ism/index.html" TargetMode="External"/><Relationship Id="rId142" Type="http://schemas.openxmlformats.org/officeDocument/2006/relationships/hyperlink" Target="https://scholar.google.com/scholar?hl=pt-BR&amp;as_sdt=0%2C5&amp;as_ylo=2019&amp;q=source%3Ainternational+source%3Asymposium+source%3Amultimedia&amp;btnG=" TargetMode="External"/><Relationship Id="rId141" Type="http://schemas.openxmlformats.org/officeDocument/2006/relationships/hyperlink" Target="https://dblp.org/db/conf/whispers/index.html" TargetMode="External"/><Relationship Id="rId140" Type="http://schemas.openxmlformats.org/officeDocument/2006/relationships/hyperlink" Target="https://scholar.google.com/citations?hl=en&amp;view_op=list_hcore&amp;venue=b0D8OCdsIgcJ.2024" TargetMode="External"/><Relationship Id="rId5" Type="http://schemas.openxmlformats.org/officeDocument/2006/relationships/hyperlink" Target="https://dblp.org/db/conf/sca/index.html" TargetMode="External"/><Relationship Id="rId147" Type="http://schemas.openxmlformats.org/officeDocument/2006/relationships/hyperlink" Target="https://dblp.org/db/conf/rt/index.html" TargetMode="External"/><Relationship Id="rId6" Type="http://schemas.openxmlformats.org/officeDocument/2006/relationships/hyperlink" Target="https://scholar.google.com/citations?hl=en&amp;view_op=list_hcore&amp;venue=Eta5Rw7ikZgJ.2024" TargetMode="External"/><Relationship Id="rId146" Type="http://schemas.openxmlformats.org/officeDocument/2006/relationships/hyperlink" Target="https://scholar.google.com/scholar?hl=pt-BR&amp;as_sdt=0%2C5&amp;as_ylo=2019&amp;q=Eurographics+Symposium+on+Rendering&amp;btnG=2024" TargetMode="External"/><Relationship Id="rId7" Type="http://schemas.openxmlformats.org/officeDocument/2006/relationships/hyperlink" Target="https://dblp.org/db/conf/cgi/index.html" TargetMode="External"/><Relationship Id="rId145" Type="http://schemas.openxmlformats.org/officeDocument/2006/relationships/hyperlink" Target="https://dblp.org/db/conf/cbmi/index.html" TargetMode="External"/><Relationship Id="rId8" Type="http://schemas.openxmlformats.org/officeDocument/2006/relationships/hyperlink" Target="https://dblp.org/db/conf/pg/index.html" TargetMode="External"/><Relationship Id="rId144" Type="http://schemas.openxmlformats.org/officeDocument/2006/relationships/hyperlink" Target="https://scholar.google.com/citations?hl=en&amp;view_op=list_hcore&amp;venue=nZ1bm2kqGmUJ.2024" TargetMode="External"/><Relationship Id="rId73" Type="http://schemas.openxmlformats.org/officeDocument/2006/relationships/hyperlink" Target="https://dblp.org/db/conf/bmvc/index.html" TargetMode="External"/><Relationship Id="rId72" Type="http://schemas.openxmlformats.org/officeDocument/2006/relationships/hyperlink" Target="https://scholar.google.com/citations?hl=en&amp;view_op=list_hcore&amp;venue=T_DfB2ikUbwJ.2024" TargetMode="External"/><Relationship Id="rId75" Type="http://schemas.openxmlformats.org/officeDocument/2006/relationships/hyperlink" Target="https://dblp.org/db/conf/ijcnn/index.html" TargetMode="External"/><Relationship Id="rId74" Type="http://schemas.openxmlformats.org/officeDocument/2006/relationships/hyperlink" Target="https://scholar.google.com/citations?hl=en&amp;view_op=list_hcore&amp;venue=-t1SY74YlYcJ.2024" TargetMode="External"/><Relationship Id="rId77" Type="http://schemas.openxmlformats.org/officeDocument/2006/relationships/hyperlink" Target="https://dblp.org/db/conf/icpr/index.html" TargetMode="External"/><Relationship Id="rId76" Type="http://schemas.openxmlformats.org/officeDocument/2006/relationships/hyperlink" Target="https://scholar.google.com/citations?hl=en&amp;view_op=list_hcore&amp;venue=cVHg_1PrXPkJ.2024" TargetMode="External"/><Relationship Id="rId79" Type="http://schemas.openxmlformats.org/officeDocument/2006/relationships/hyperlink" Target="https://dblp.org/db/conf/itsc/index.html" TargetMode="External"/><Relationship Id="rId78" Type="http://schemas.openxmlformats.org/officeDocument/2006/relationships/hyperlink" Target="https://scholar.google.com/citations?hl=en&amp;view_op=list_hcore&amp;venue=F_tKvHBbkU8J.2024" TargetMode="External"/><Relationship Id="rId71" Type="http://schemas.openxmlformats.org/officeDocument/2006/relationships/hyperlink" Target="https://dblp.org/db/conf/icip/index.html" TargetMode="External"/><Relationship Id="rId70" Type="http://schemas.openxmlformats.org/officeDocument/2006/relationships/hyperlink" Target="https://scholar.google.com/citations?hl=en&amp;view_op=list_hcore&amp;venue=a9ZSGA40nccJ.2024" TargetMode="External"/><Relationship Id="rId139" Type="http://schemas.openxmlformats.org/officeDocument/2006/relationships/hyperlink" Target="https://dblp.org/db/conf/ca/index.html" TargetMode="External"/><Relationship Id="rId138" Type="http://schemas.openxmlformats.org/officeDocument/2006/relationships/hyperlink" Target="https://scholar.google.com.br/citations?hl=pt-BR&amp;view_op=search_venues&amp;vq=%22computer+Animation+and+virtual%22&amp;btnG=" TargetMode="External"/><Relationship Id="rId137" Type="http://schemas.openxmlformats.org/officeDocument/2006/relationships/hyperlink" Target="https://dblp.org/db/conf/mig/index.html" TargetMode="External"/><Relationship Id="rId132" Type="http://schemas.openxmlformats.org/officeDocument/2006/relationships/hyperlink" Target="https://dblp.org/db/conf/isvc/index.html" TargetMode="External"/><Relationship Id="rId131" Type="http://schemas.openxmlformats.org/officeDocument/2006/relationships/hyperlink" Target="https://scholar.google.com/citations?hl=en&amp;view_op=list_hcore&amp;venue=gkPBkimMWRYJ.2024" TargetMode="External"/><Relationship Id="rId130" Type="http://schemas.openxmlformats.org/officeDocument/2006/relationships/hyperlink" Target="https://dblp.org/db/conf/esann/index.html" TargetMode="External"/><Relationship Id="rId136" Type="http://schemas.openxmlformats.org/officeDocument/2006/relationships/hyperlink" Target="https://scholar.google.com/citations?hl=pt-BR&amp;view_op=list_hcore&amp;venue=hz1-DUbSgGcJ.2024" TargetMode="External"/><Relationship Id="rId135" Type="http://schemas.openxmlformats.org/officeDocument/2006/relationships/hyperlink" Target="https://dblp.org/db/conf/ist/index.html" TargetMode="External"/><Relationship Id="rId134" Type="http://schemas.openxmlformats.org/officeDocument/2006/relationships/hyperlink" Target="https://scholar.google.com/citations?hl=en&amp;view_op=list_hcore&amp;venue=Q_PhJS0hr7sJ.2024" TargetMode="External"/><Relationship Id="rId133" Type="http://schemas.openxmlformats.org/officeDocument/2006/relationships/hyperlink" Target="https://scholar.google.com/citations?hl=en&amp;view_op=list_hcore&amp;venue=yfyE0T8aCnwJ.2024" TargetMode="External"/><Relationship Id="rId62" Type="http://schemas.openxmlformats.org/officeDocument/2006/relationships/hyperlink" Target="https://scholar.google.com/citations?hl=en&amp;view_op=list_hcore&amp;venue=vKMrxyJUpv0J.2024" TargetMode="External"/><Relationship Id="rId61" Type="http://schemas.openxmlformats.org/officeDocument/2006/relationships/hyperlink" Target="https://dblp.org/db/conf/wacv/index.html" TargetMode="External"/><Relationship Id="rId64" Type="http://schemas.openxmlformats.org/officeDocument/2006/relationships/hyperlink" Target="https://scholar.google.com/citations?hl=en&amp;view_op=list_hcore&amp;venue=QLpioUFGyGMJ.2024" TargetMode="External"/><Relationship Id="rId63" Type="http://schemas.openxmlformats.org/officeDocument/2006/relationships/hyperlink" Target="https://dblp.org/db/conf/mm/index.html" TargetMode="External"/><Relationship Id="rId66" Type="http://schemas.openxmlformats.org/officeDocument/2006/relationships/hyperlink" Target="https://scholar.google.com/citations?hl=en&amp;view_op=list_hcore&amp;venue=ThxTsNVxvT8J.2024" TargetMode="External"/><Relationship Id="rId65" Type="http://schemas.openxmlformats.org/officeDocument/2006/relationships/hyperlink" Target="https://dblp.org/db/conf/miccai/index.html" TargetMode="External"/><Relationship Id="rId68" Type="http://schemas.openxmlformats.org/officeDocument/2006/relationships/hyperlink" Target="https://scholar.google.com/citations?hl=en&amp;view_op=list_hcore&amp;venue=QZ31s4XlF8EJ.2024" TargetMode="External"/><Relationship Id="rId67" Type="http://schemas.openxmlformats.org/officeDocument/2006/relationships/hyperlink" Target="https://dblp.org/db/conf/cec/index.html" TargetMode="External"/><Relationship Id="rId60" Type="http://schemas.openxmlformats.org/officeDocument/2006/relationships/hyperlink" Target="https://scholar.google.com/citations?hl=en&amp;view_op=list_hcore&amp;venue=uo-zCIky-iEJ.2024" TargetMode="External"/><Relationship Id="rId165" Type="http://schemas.openxmlformats.org/officeDocument/2006/relationships/hyperlink" Target="https://dblp.org/db/conf/epia/index.html" TargetMode="External"/><Relationship Id="rId69" Type="http://schemas.openxmlformats.org/officeDocument/2006/relationships/hyperlink" Target="https://dblp.org/db/conf/iros/index.html" TargetMode="External"/><Relationship Id="rId164" Type="http://schemas.openxmlformats.org/officeDocument/2006/relationships/hyperlink" Target="https://scholar.google.com/citations?hl=en&amp;view_op=list_hcore&amp;venue=SDrbTPLn2T0J.2024" TargetMode="External"/><Relationship Id="rId163" Type="http://schemas.openxmlformats.org/officeDocument/2006/relationships/hyperlink" Target="https://dblp.org/db/conf/icpram/index.html" TargetMode="External"/><Relationship Id="rId162" Type="http://schemas.openxmlformats.org/officeDocument/2006/relationships/hyperlink" Target="https://scholar.google.com.br/scholar?hl=pt-BR&amp;as_sdt=0%2C5&amp;as_ylo=2019&amp;as_yhi=2024&amp;as_vis=1&amp;q=source%3AInternational+source%3AConference+source%3Aon++source%3APattern+source%3ARecognition+source%3AApplications+source%3Aand+source%3AMethods&amp;btnG=" TargetMode="External"/><Relationship Id="rId166" Type="http://schemas.openxmlformats.org/officeDocument/2006/relationships/drawing" Target="../drawings/drawing6.xml"/><Relationship Id="rId51" Type="http://schemas.openxmlformats.org/officeDocument/2006/relationships/hyperlink" Target="https://dblp.org/db/conf/eccv/index.html" TargetMode="External"/><Relationship Id="rId50" Type="http://schemas.openxmlformats.org/officeDocument/2006/relationships/hyperlink" Target="https://scholar.google.com/citations?hl=en&amp;view_op=list_hcore&amp;venue=cwIh2C-xo8kJ.2024" TargetMode="External"/><Relationship Id="rId53" Type="http://schemas.openxmlformats.org/officeDocument/2006/relationships/hyperlink" Target="https://dblp.org/db/conf/ijcai/index.html" TargetMode="External"/><Relationship Id="rId52" Type="http://schemas.openxmlformats.org/officeDocument/2006/relationships/hyperlink" Target="https://scholar.google.com/citations?hl=en&amp;view_op=list_hcore&amp;venue=4HxsSu0PUdYJ.2024" TargetMode="External"/><Relationship Id="rId55" Type="http://schemas.openxmlformats.org/officeDocument/2006/relationships/hyperlink" Target="https://dblp.org/db/conf/icassp/index.html" TargetMode="External"/><Relationship Id="rId161" Type="http://schemas.openxmlformats.org/officeDocument/2006/relationships/hyperlink" Target="https://dblp.org/db/conf/graphicsinterface/index.html" TargetMode="External"/><Relationship Id="rId54" Type="http://schemas.openxmlformats.org/officeDocument/2006/relationships/hyperlink" Target="https://scholar.google.com/citations?hl=en&amp;view_op=list_hcore&amp;venue=HHC6AUo36fEJ.2024" TargetMode="External"/><Relationship Id="rId160" Type="http://schemas.openxmlformats.org/officeDocument/2006/relationships/hyperlink" Target="https://dblp.org/db/conf/mldm/index.html" TargetMode="External"/><Relationship Id="rId57" Type="http://schemas.openxmlformats.org/officeDocument/2006/relationships/hyperlink" Target="https://dblp.org/db/conf/icra/index.html" TargetMode="External"/><Relationship Id="rId56" Type="http://schemas.openxmlformats.org/officeDocument/2006/relationships/hyperlink" Target="https://scholar.google.com/citations?hl=en&amp;view_op=list_hcore&amp;venue=Z88T8Kej-9oJ.2024" TargetMode="External"/><Relationship Id="rId159" Type="http://schemas.openxmlformats.org/officeDocument/2006/relationships/hyperlink" Target="https://scholar.google.com/scholar?hl=pt-BR&amp;as_sdt=0%2C5&amp;as_ylo=2018&amp;q=source%3AInternational+source%3AConference+source%3AComputer+source%3AGraphics+source%3AVisualization+source%3AComputer+source%3AVision+source%3AImage+source%3AProcessing&amp;btnG=" TargetMode="External"/><Relationship Id="rId59" Type="http://schemas.openxmlformats.org/officeDocument/2006/relationships/hyperlink" Target="https://dblp.org/db/conf/interspeech/index.html" TargetMode="External"/><Relationship Id="rId154" Type="http://schemas.openxmlformats.org/officeDocument/2006/relationships/hyperlink" Target="https://dblp.org/db/conf/icdip/index.html" TargetMode="External"/><Relationship Id="rId58" Type="http://schemas.openxmlformats.org/officeDocument/2006/relationships/hyperlink" Target="https://scholar.google.com/citations?hl=en&amp;view_op=list_hcore&amp;venue=ssdQ_yPkyjAJ.2024" TargetMode="External"/><Relationship Id="rId153" Type="http://schemas.openxmlformats.org/officeDocument/2006/relationships/hyperlink" Target="https://scholar.google.com/citations?hl=en&amp;view_op=list_hcore&amp;venue=Zv1cF-tcqjsJ.2024" TargetMode="External"/><Relationship Id="rId152" Type="http://schemas.openxmlformats.org/officeDocument/2006/relationships/hyperlink" Target="https://dblp.org/db/conf/fimh/index.html" TargetMode="External"/><Relationship Id="rId151" Type="http://schemas.openxmlformats.org/officeDocument/2006/relationships/hyperlink" Target="https://scholar.google.com/citations?hl=en&amp;view_op=list_hcore&amp;venue=eU_EdGdJ0VwJ.2024" TargetMode="External"/><Relationship Id="rId158" Type="http://schemas.openxmlformats.org/officeDocument/2006/relationships/hyperlink" Target="https://dblp.org/db/conf/acivs/index.html" TargetMode="External"/><Relationship Id="rId157" Type="http://schemas.openxmlformats.org/officeDocument/2006/relationships/hyperlink" Target="https://scholar.google.com/scholar?hl=pt-BR&amp;as_sdt=0%2C5&amp;as_ylo=2019&amp;q=source%3A+Advanced+source%3AConcepts+source%3AIntelligent+source%3AVision+source%3ASystems&amp;btnG=" TargetMode="External"/><Relationship Id="rId156" Type="http://schemas.openxmlformats.org/officeDocument/2006/relationships/hyperlink" Target="https://dblp.org/db/conf/sipaim/index.html" TargetMode="External"/><Relationship Id="rId155" Type="http://schemas.openxmlformats.org/officeDocument/2006/relationships/hyperlink" Target="https://scholar.google.com/citations?hl=en&amp;view_op=list_hcore&amp;venue=fY1OH_qEjxwJ.2024" TargetMode="External"/></Relationships>
</file>

<file path=xl/worksheets/_rels/sheet7.xml.rels><?xml version="1.0" encoding="UTF-8" standalone="yes"?><Relationships xmlns="http://schemas.openxmlformats.org/package/2006/relationships"><Relationship Id="rId40" Type="http://schemas.openxmlformats.org/officeDocument/2006/relationships/hyperlink" Target="https://sol.sbc.org.br/index.php/sbrc" TargetMode="External"/><Relationship Id="rId190" Type="http://schemas.openxmlformats.org/officeDocument/2006/relationships/hyperlink" Target="https://scholar.google.com.br/citations?hl=en&amp;view_op=list_hcore&amp;venue=aNZ314HiR4YJ.2023" TargetMode="External"/><Relationship Id="rId42" Type="http://schemas.openxmlformats.org/officeDocument/2006/relationships/hyperlink" Target="https://dblp.org/db/conf/sosr/index.html" TargetMode="External"/><Relationship Id="rId41" Type="http://schemas.openxmlformats.org/officeDocument/2006/relationships/hyperlink" Target="https://dblp.org/db/conf/sbrc/index.html" TargetMode="External"/><Relationship Id="rId44" Type="http://schemas.openxmlformats.org/officeDocument/2006/relationships/hyperlink" Target="https://scholar.google.com.br/citations?hl=en&amp;view_op=list_hcore&amp;venue=VtCeQ7ShDloJ.2023" TargetMode="External"/><Relationship Id="rId194" Type="http://schemas.openxmlformats.org/officeDocument/2006/relationships/hyperlink" Target="https://scholar.google.com.br/citations?hl=pt-BR&amp;view_op=list_hcore&amp;venue=oIYBlZ0nCUMJ.2023" TargetMode="External"/><Relationship Id="rId43" Type="http://schemas.openxmlformats.org/officeDocument/2006/relationships/hyperlink" Target="https://dblp.org/db/conf/sosp/index.html" TargetMode="External"/><Relationship Id="rId193" Type="http://schemas.openxmlformats.org/officeDocument/2006/relationships/hyperlink" Target="https://dblp.org/db/conf/mascots/index.html" TargetMode="External"/><Relationship Id="rId46" Type="http://schemas.openxmlformats.org/officeDocument/2006/relationships/hyperlink" Target="https://scholar.google.com.br/citations?hl=en&amp;view_op=list_hcore&amp;venue=cyrroHz3a0YJ.2023" TargetMode="External"/><Relationship Id="rId192" Type="http://schemas.openxmlformats.org/officeDocument/2006/relationships/hyperlink" Target="https://scholar.google.com/citations?hl=en&amp;view_op=list_hcore&amp;venue=rUAci4_JCgEJ.2023" TargetMode="External"/><Relationship Id="rId45" Type="http://schemas.openxmlformats.org/officeDocument/2006/relationships/hyperlink" Target="https://dblp.org/db/conf/www/index.html" TargetMode="External"/><Relationship Id="rId191" Type="http://schemas.openxmlformats.org/officeDocument/2006/relationships/hyperlink" Target="https://dblp.org/db/conf/cloudcom/index.html" TargetMode="External"/><Relationship Id="rId48" Type="http://schemas.openxmlformats.org/officeDocument/2006/relationships/hyperlink" Target="https://scholar.google.com.br/citations?hl=en&amp;view_op=list_hcore&amp;venue=Pg42P_rbavwJ.2023" TargetMode="External"/><Relationship Id="rId187" Type="http://schemas.openxmlformats.org/officeDocument/2006/relationships/hyperlink" Target="https://dblp.org/db/conf/mobiquitous/index.html" TargetMode="External"/><Relationship Id="rId47" Type="http://schemas.openxmlformats.org/officeDocument/2006/relationships/hyperlink" Target="https://dblp.org/db/conf/sp/index.html" TargetMode="External"/><Relationship Id="rId186" Type="http://schemas.openxmlformats.org/officeDocument/2006/relationships/hyperlink" Target="https://scholar.google.com.br/citations?hl=pt-BR&amp;view_op=list_hcore&amp;venue=bnWlRT9hHXEJ.2023" TargetMode="External"/><Relationship Id="rId185" Type="http://schemas.openxmlformats.org/officeDocument/2006/relationships/hyperlink" Target="https://dblp.org/db/conf/ipccc/index.html" TargetMode="External"/><Relationship Id="rId49" Type="http://schemas.openxmlformats.org/officeDocument/2006/relationships/hyperlink" Target="https://dblp.org/db/conf/ccs/index.html" TargetMode="External"/><Relationship Id="rId184" Type="http://schemas.openxmlformats.org/officeDocument/2006/relationships/hyperlink" Target="https://scholar.google.com.br/citations?hl=pt-BR&amp;view_op=list_hcore&amp;venue=LM8Vo6K7w5QJ.2023" TargetMode="External"/><Relationship Id="rId189" Type="http://schemas.openxmlformats.org/officeDocument/2006/relationships/hyperlink" Target="https://dblp.org/db/conf/softcom/index.html" TargetMode="External"/><Relationship Id="rId188" Type="http://schemas.openxmlformats.org/officeDocument/2006/relationships/hyperlink" Target="https://scholar.google.com.br/citations?hl=pt-BR&amp;view_op=list_hcore&amp;venue=TezauzTurFkJ.2023" TargetMode="External"/><Relationship Id="rId31" Type="http://schemas.openxmlformats.org/officeDocument/2006/relationships/hyperlink" Target="https://scholar.google.com/citations?hl=en&amp;view_op=list_hcore&amp;venue=Okb8aqGJjLgJ.2023" TargetMode="External"/><Relationship Id="rId30" Type="http://schemas.openxmlformats.org/officeDocument/2006/relationships/hyperlink" Target="https://dblp.org/db/conf/icnp/index.html" TargetMode="External"/><Relationship Id="rId33" Type="http://schemas.openxmlformats.org/officeDocument/2006/relationships/hyperlink" Target="https://scholar.google.com/citations?hl=en&amp;view_op=list_hcore&amp;venue=_XEusYoPeXgJ.2023" TargetMode="External"/><Relationship Id="rId183" Type="http://schemas.openxmlformats.org/officeDocument/2006/relationships/hyperlink" Target="https://dblp.org/db/conf/debs/index.html" TargetMode="External"/><Relationship Id="rId32" Type="http://schemas.openxmlformats.org/officeDocument/2006/relationships/hyperlink" Target="https://dblp.org/db/conf/mobihoc/index.html" TargetMode="External"/><Relationship Id="rId182" Type="http://schemas.openxmlformats.org/officeDocument/2006/relationships/hyperlink" Target="https://scholar.google.com.br/citations?hl=pt-BR&amp;view_op=list_hcore&amp;venue=tlrCVwIsX4kJ.2023" TargetMode="External"/><Relationship Id="rId35" Type="http://schemas.openxmlformats.org/officeDocument/2006/relationships/hyperlink" Target="https://scholar.google.com.br/citations?hl=en&amp;view_op=list_hcore&amp;venue=wWkh60cbs_oJ.2023" TargetMode="External"/><Relationship Id="rId181" Type="http://schemas.openxmlformats.org/officeDocument/2006/relationships/hyperlink" Target="https://dblp.org/db/conf/cscn/index.html" TargetMode="External"/><Relationship Id="rId34" Type="http://schemas.openxmlformats.org/officeDocument/2006/relationships/hyperlink" Target="https://dblp.org/db/conf/im/index.html" TargetMode="External"/><Relationship Id="rId180" Type="http://schemas.openxmlformats.org/officeDocument/2006/relationships/hyperlink" Target="https://scholar.google.com.br/citations?hl=pt-BR&amp;view_op=list_hcore&amp;venue=fRCvy-8x_TkJ.2023" TargetMode="External"/><Relationship Id="rId37" Type="http://schemas.openxmlformats.org/officeDocument/2006/relationships/hyperlink" Target="https://scholar.google.com/citations?hl=en&amp;view_op=list_hcore&amp;venue=OK3y4P6IJ9EJ.2023" TargetMode="External"/><Relationship Id="rId176" Type="http://schemas.openxmlformats.org/officeDocument/2006/relationships/hyperlink" Target="https://scholar.google.com.br/citations?hl=pt-BR&amp;view_op=list_hcore&amp;venue=3DkJ6LWnfgoJ.2023" TargetMode="External"/><Relationship Id="rId36" Type="http://schemas.openxmlformats.org/officeDocument/2006/relationships/hyperlink" Target="https://dblp.org/db/conf/hotnets/index.html" TargetMode="External"/><Relationship Id="rId175" Type="http://schemas.openxmlformats.org/officeDocument/2006/relationships/hyperlink" Target="https://dblp.org/db/conf/wd/index.html" TargetMode="External"/><Relationship Id="rId39" Type="http://schemas.openxmlformats.org/officeDocument/2006/relationships/hyperlink" Target="https://scholar.google.com.br/citations?hl=pt-BR&amp;view_op=list_hcore&amp;venue=3vnP2ksW2eAJ.2023" TargetMode="External"/><Relationship Id="rId174" Type="http://schemas.openxmlformats.org/officeDocument/2006/relationships/hyperlink" Target="https://scholar.google.com.br/citations?hl=pt-BR&amp;view_op=list_hcore&amp;venue=AFnewPQslXYJ.2023" TargetMode="External"/><Relationship Id="rId38" Type="http://schemas.openxmlformats.org/officeDocument/2006/relationships/hyperlink" Target="https://dblp.org/db/conf/networking/index.html" TargetMode="External"/><Relationship Id="rId173" Type="http://schemas.openxmlformats.org/officeDocument/2006/relationships/hyperlink" Target="https://dblp.org/db/conf/cloudnet/index.html" TargetMode="External"/><Relationship Id="rId179" Type="http://schemas.openxmlformats.org/officeDocument/2006/relationships/hyperlink" Target="https://dblp.org/db/conf/nfvsdn/index.html" TargetMode="External"/><Relationship Id="rId178" Type="http://schemas.openxmlformats.org/officeDocument/2006/relationships/hyperlink" Target="https://scholar.google.com.br/citations?hl=pt-BR&amp;view_op=list_hcore&amp;venue=zpJLXcw8LuIJ.2023" TargetMode="External"/><Relationship Id="rId177" Type="http://schemas.openxmlformats.org/officeDocument/2006/relationships/hyperlink" Target="https://dblp.org/db/conf/wocc/index.html" TargetMode="External"/><Relationship Id="rId20" Type="http://schemas.openxmlformats.org/officeDocument/2006/relationships/hyperlink" Target="https://dblp.org/db/conf/conext/index.html" TargetMode="External"/><Relationship Id="rId22" Type="http://schemas.openxmlformats.org/officeDocument/2006/relationships/hyperlink" Target="https://dblp.org/db/conf/sensys/index.html" TargetMode="External"/><Relationship Id="rId21" Type="http://schemas.openxmlformats.org/officeDocument/2006/relationships/hyperlink" Target="https://scholar.google.com/citations?hl=en&amp;view_op=list_hcore&amp;venue=LThmRgAPtwoJ.2023" TargetMode="External"/><Relationship Id="rId24" Type="http://schemas.openxmlformats.org/officeDocument/2006/relationships/hyperlink" Target="https://dblp.org/db/conf/podc/index.html" TargetMode="External"/><Relationship Id="rId23" Type="http://schemas.openxmlformats.org/officeDocument/2006/relationships/hyperlink" Target="https://scholar.google.com/citations?hl=en&amp;view_op=list_hcore&amp;venue=fcioh0Px5iMJ.2023" TargetMode="External"/><Relationship Id="rId26" Type="http://schemas.openxmlformats.org/officeDocument/2006/relationships/hyperlink" Target="https://dblp.org/db/conf/pimrc/index.html" TargetMode="External"/><Relationship Id="rId25" Type="http://schemas.openxmlformats.org/officeDocument/2006/relationships/hyperlink" Target="https://scholar.google.com/citations?hl=en&amp;view_op=list_hcore&amp;venue=z284emjTz40J.2023" TargetMode="External"/><Relationship Id="rId28" Type="http://schemas.openxmlformats.org/officeDocument/2006/relationships/hyperlink" Target="https://dblp.org/db/conf/icnc/index.html" TargetMode="External"/><Relationship Id="rId27" Type="http://schemas.openxmlformats.org/officeDocument/2006/relationships/hyperlink" Target="https://scholar.google.com/citations?hl=en&amp;view_op=list_hcore&amp;venue=dHfyvFtXJEcJ.2023" TargetMode="External"/><Relationship Id="rId29" Type="http://schemas.openxmlformats.org/officeDocument/2006/relationships/hyperlink" Target="https://scholar.google.com/citations?hl=en&amp;view_op=list_hcore&amp;venue=uhUmlwFgx3kJ.2023" TargetMode="External"/><Relationship Id="rId11" Type="http://schemas.openxmlformats.org/officeDocument/2006/relationships/hyperlink" Target="https://scholar.google.com.br/citations?hl=en&amp;view_op=list_hcore&amp;venue=CYo1GjC2fW8J.2023" TargetMode="External"/><Relationship Id="rId10" Type="http://schemas.openxmlformats.org/officeDocument/2006/relationships/hyperlink" Target="https://dblp.org/db/conf/sigcomm/index.html" TargetMode="External"/><Relationship Id="rId13" Type="http://schemas.openxmlformats.org/officeDocument/2006/relationships/hyperlink" Target="https://scholar.google.com/citations?hl=en&amp;view_op=list_hcore&amp;venue=CiHz08Ia1nsJ.2023" TargetMode="External"/><Relationship Id="rId12" Type="http://schemas.openxmlformats.org/officeDocument/2006/relationships/hyperlink" Target="https://dblp.org/db/conf/mobicom/index.html" TargetMode="External"/><Relationship Id="rId15" Type="http://schemas.openxmlformats.org/officeDocument/2006/relationships/hyperlink" Target="https://scholar.google.com/citations?hl=en&amp;view_op=list_hcore&amp;venue=Yh-Vy_bHNYMJ.2023" TargetMode="External"/><Relationship Id="rId198" Type="http://schemas.openxmlformats.org/officeDocument/2006/relationships/hyperlink" Target="https://scholar.google.com.br/citations?hl=pt-BR&amp;view_op=list_hcore&amp;venue=FdZkG8N8jboJ.2023" TargetMode="External"/><Relationship Id="rId14" Type="http://schemas.openxmlformats.org/officeDocument/2006/relationships/hyperlink" Target="https://dblp.org/db/conf/icdcs/index.html" TargetMode="External"/><Relationship Id="rId197" Type="http://schemas.openxmlformats.org/officeDocument/2006/relationships/hyperlink" Target="https://dblp.org/db/conf/opodis/index.html" TargetMode="External"/><Relationship Id="rId17" Type="http://schemas.openxmlformats.org/officeDocument/2006/relationships/hyperlink" Target="https://scholar.google.com/citations?hl=en&amp;view_op=list_hcore&amp;venue=0mhk3_x__KIJ.2023" TargetMode="External"/><Relationship Id="rId196" Type="http://schemas.openxmlformats.org/officeDocument/2006/relationships/hyperlink" Target="https://scholar.google.com.br/citations?hl=pt-BR&amp;view_op=list_hcore&amp;venue=0luRC0xHVlsJ.2023" TargetMode="External"/><Relationship Id="rId16" Type="http://schemas.openxmlformats.org/officeDocument/2006/relationships/hyperlink" Target="https://dblp.org/db/conf/imc/index.html" TargetMode="External"/><Relationship Id="rId195" Type="http://schemas.openxmlformats.org/officeDocument/2006/relationships/hyperlink" Target="https://dblp.org/db/conf/ieeeants/index.html" TargetMode="External"/><Relationship Id="rId19" Type="http://schemas.openxmlformats.org/officeDocument/2006/relationships/hyperlink" Target="https://scholar.google.com/citations?hl=en&amp;view_op=list_hcore&amp;venue=pj0-opwdew8J.2023" TargetMode="External"/><Relationship Id="rId18" Type="http://schemas.openxmlformats.org/officeDocument/2006/relationships/hyperlink" Target="https://dblp.org/db/conf/mobisys/index.html" TargetMode="External"/><Relationship Id="rId199" Type="http://schemas.openxmlformats.org/officeDocument/2006/relationships/hyperlink" Target="https://dblp.org/db/conf/cits/index.html" TargetMode="External"/><Relationship Id="rId84" Type="http://schemas.openxmlformats.org/officeDocument/2006/relationships/hyperlink" Target="https://scholar.google.com/citations?hl=en&amp;view_op=list_hcore&amp;venue=gauoYMg7lZMJ.2023" TargetMode="External"/><Relationship Id="rId83" Type="http://schemas.openxmlformats.org/officeDocument/2006/relationships/hyperlink" Target="https://dblp.org/db/conf/allerton/index.html" TargetMode="External"/><Relationship Id="rId86" Type="http://schemas.openxmlformats.org/officeDocument/2006/relationships/hyperlink" Target="https://scholar.google.com/citations?hl=en&amp;view_op=list_hcore&amp;venue=_IeLSKDu4j0J.2023" TargetMode="External"/><Relationship Id="rId85" Type="http://schemas.openxmlformats.org/officeDocument/2006/relationships/hyperlink" Target="https://dblp.org/db/conf/percom/index.html" TargetMode="External"/><Relationship Id="rId88" Type="http://schemas.openxmlformats.org/officeDocument/2006/relationships/hyperlink" Target="https://scholar.google.com.br/citations?hl=en&amp;view_op=list_hcore&amp;venue=siTGI384Pw4J.2023" TargetMode="External"/><Relationship Id="rId150" Type="http://schemas.openxmlformats.org/officeDocument/2006/relationships/hyperlink" Target="https://scholar.google.com.br/citations?hl=en&amp;view_op=list_hcore&amp;venue=fZ5Q0nFEqjEJ.2023" TargetMode="External"/><Relationship Id="rId87" Type="http://schemas.openxmlformats.org/officeDocument/2006/relationships/hyperlink" Target="https://dblp.org/db/conf/ccgrid/index.html" TargetMode="External"/><Relationship Id="rId89" Type="http://schemas.openxmlformats.org/officeDocument/2006/relationships/hyperlink" Target="https://dblp.org/db/conf/spaa/index.html" TargetMode="External"/><Relationship Id="rId80" Type="http://schemas.openxmlformats.org/officeDocument/2006/relationships/hyperlink" Target="https://scholar.google.com/citations?hl=pt-BR&amp;view_op=list_hcore&amp;venue=Hh3XGFymILkJ.2023" TargetMode="External"/><Relationship Id="rId82" Type="http://schemas.openxmlformats.org/officeDocument/2006/relationships/hyperlink" Target="https://scholar.google.com.br/citations?hl=en&amp;view_op=list_hcore&amp;venue=HbOjoTJcHB8J.2023" TargetMode="External"/><Relationship Id="rId81" Type="http://schemas.openxmlformats.org/officeDocument/2006/relationships/hyperlink" Target="https://dblp.org/db/conf/icbc2/index.html" TargetMode="External"/><Relationship Id="rId1" Type="http://schemas.openxmlformats.org/officeDocument/2006/relationships/hyperlink" Target="https://scholar.google.com.br/citations?hl=en&amp;vq=eng_computernetworkswirelesscommunication&amp;view_op=list_hcore&amp;venue=JMgzZsGYu14J.2023" TargetMode="External"/><Relationship Id="rId2" Type="http://schemas.openxmlformats.org/officeDocument/2006/relationships/hyperlink" Target="https://dblp.org/db/conf/infocom/index.html" TargetMode="External"/><Relationship Id="rId3" Type="http://schemas.openxmlformats.org/officeDocument/2006/relationships/hyperlink" Target="https://scholar.google.com.br/citations?hl=en&amp;vq=eng_computernetworkswirelesscommunication&amp;view_op=list_hcore&amp;venue=RIbmH16J7yoJ.2023" TargetMode="External"/><Relationship Id="rId149" Type="http://schemas.openxmlformats.org/officeDocument/2006/relationships/hyperlink" Target="https://dblp.org/db/conf/dyspan/index.html" TargetMode="External"/><Relationship Id="rId4" Type="http://schemas.openxmlformats.org/officeDocument/2006/relationships/hyperlink" Target="https://dblp.org/db/conf/icc/index.html" TargetMode="External"/><Relationship Id="rId148" Type="http://schemas.openxmlformats.org/officeDocument/2006/relationships/hyperlink" Target="https://scholar.google.com.br/citations?hl=pt-BR&amp;view_op=list_hcore&amp;venue=0y6OyqiGt8MJ.2023" TargetMode="External"/><Relationship Id="rId9" Type="http://schemas.openxmlformats.org/officeDocument/2006/relationships/hyperlink" Target="https://scholar.google.com.br/citations?hl=en&amp;view_op=list_hcore&amp;venue=xd8jQKOw5ikJ.2023" TargetMode="External"/><Relationship Id="rId143" Type="http://schemas.openxmlformats.org/officeDocument/2006/relationships/hyperlink" Target="https://dblp.org/db/conf/isgteurope/index.html" TargetMode="External"/><Relationship Id="rId142" Type="http://schemas.openxmlformats.org/officeDocument/2006/relationships/hyperlink" Target="https://scholar.google.com/citations?hl=en&amp;view_op=list_hcore&amp;venue=clIpBqTfgOsJ.2023" TargetMode="External"/><Relationship Id="rId141" Type="http://schemas.openxmlformats.org/officeDocument/2006/relationships/hyperlink" Target="https://dblp.org/db/conf/isgt/index.html" TargetMode="External"/><Relationship Id="rId140" Type="http://schemas.openxmlformats.org/officeDocument/2006/relationships/hyperlink" Target="https://scholar.google.com.br/citations?hl=en&amp;view_op=list_hcore&amp;venue=9nASlar3rTYJ.2023" TargetMode="External"/><Relationship Id="rId5" Type="http://schemas.openxmlformats.org/officeDocument/2006/relationships/hyperlink" Target="https://scholar.google.com.br/citations?hl=en&amp;vq=eng_computernetworkswirelesscommunication&amp;view_op=list_hcore&amp;venue=pZS97tVVUCgJ.2023" TargetMode="External"/><Relationship Id="rId147" Type="http://schemas.openxmlformats.org/officeDocument/2006/relationships/hyperlink" Target="https://dblp.org/db/conf/ficloud/index.html" TargetMode="External"/><Relationship Id="rId6" Type="http://schemas.openxmlformats.org/officeDocument/2006/relationships/hyperlink" Target="https://dblp.org/db/conf/globecom/index.html" TargetMode="External"/><Relationship Id="rId146" Type="http://schemas.openxmlformats.org/officeDocument/2006/relationships/hyperlink" Target="https://scholar.google.com.br/citations?hl=en&amp;view_op=list_hcore&amp;venue=qesER2iEwMYJ.2023" TargetMode="External"/><Relationship Id="rId7" Type="http://schemas.openxmlformats.org/officeDocument/2006/relationships/hyperlink" Target="https://scholar.google.com.br/citations?hl=en&amp;view_op=list_hcore&amp;venue=J92rQU3cJVwJ.2023" TargetMode="External"/><Relationship Id="rId145" Type="http://schemas.openxmlformats.org/officeDocument/2006/relationships/hyperlink" Target="https://dblp.org/db/conf/dcoss/index.html" TargetMode="External"/><Relationship Id="rId8" Type="http://schemas.openxmlformats.org/officeDocument/2006/relationships/hyperlink" Target="https://dblp.org/db/conf/nsdi/index.html" TargetMode="External"/><Relationship Id="rId144" Type="http://schemas.openxmlformats.org/officeDocument/2006/relationships/hyperlink" Target="https://scholar.google.com.br/citations?hl=en&amp;view_op=list_hcore&amp;venue=ps72WqVeHX4J.2023" TargetMode="External"/><Relationship Id="rId73" Type="http://schemas.openxmlformats.org/officeDocument/2006/relationships/hyperlink" Target="https://dblp.org/db/conf/ieeecloud/index.html" TargetMode="External"/><Relationship Id="rId72" Type="http://schemas.openxmlformats.org/officeDocument/2006/relationships/hyperlink" Target="https://scholar.google.com/citations?hl=en&amp;view_op=list_hcore&amp;venue=ioohKoS5imcJ.2023" TargetMode="External"/><Relationship Id="rId75" Type="http://schemas.openxmlformats.org/officeDocument/2006/relationships/hyperlink" Target="https://dblp.org/db/conf/blockchain2/index.html" TargetMode="External"/><Relationship Id="rId74" Type="http://schemas.openxmlformats.org/officeDocument/2006/relationships/hyperlink" Target="https://scholar.google.com/citations?hl=pt-BR&amp;view_op=list_hcore&amp;venue=DGN3r9u7HNQJ.2023" TargetMode="External"/><Relationship Id="rId77" Type="http://schemas.openxmlformats.org/officeDocument/2006/relationships/hyperlink" Target="https://dblp.org/db/conf/mmsys/index.html" TargetMode="External"/><Relationship Id="rId76" Type="http://schemas.openxmlformats.org/officeDocument/2006/relationships/hyperlink" Target="https://scholar.google.com.br/citations?hl=en&amp;view_op=list_hcore&amp;venue=iRTf4ImdsEQJ.2023" TargetMode="External"/><Relationship Id="rId79" Type="http://schemas.openxmlformats.org/officeDocument/2006/relationships/hyperlink" Target="https://dblp.org/db/conf/huc/index.html" TargetMode="External"/><Relationship Id="rId78" Type="http://schemas.openxmlformats.org/officeDocument/2006/relationships/hyperlink" Target="https://scholar.google.com.br/citations?hl=en&amp;view_op=list_hcore&amp;venue=K6EHRjh8bWIJ.2023" TargetMode="External"/><Relationship Id="rId71" Type="http://schemas.openxmlformats.org/officeDocument/2006/relationships/hyperlink" Target="https://dblp.org/db/conf/cloud/index.html" TargetMode="External"/><Relationship Id="rId70" Type="http://schemas.openxmlformats.org/officeDocument/2006/relationships/hyperlink" Target="https://scholar.google.com/citations?hl=en&amp;view_op=list_hcore&amp;venue=o1durVJyeP4J.2023" TargetMode="External"/><Relationship Id="rId139" Type="http://schemas.openxmlformats.org/officeDocument/2006/relationships/hyperlink" Target="https://dblp.org/db/conf/aina/index.html" TargetMode="External"/><Relationship Id="rId138" Type="http://schemas.openxmlformats.org/officeDocument/2006/relationships/hyperlink" Target="https://scholar.google.com.br/citations?hl=en&amp;view_op=list_hcore&amp;venue=FBp6ksxIdQYJ.2023" TargetMode="External"/><Relationship Id="rId137" Type="http://schemas.openxmlformats.org/officeDocument/2006/relationships/hyperlink" Target="https://dblp.org/db/conf/ucc/index.html" TargetMode="External"/><Relationship Id="rId132" Type="http://schemas.openxmlformats.org/officeDocument/2006/relationships/hyperlink" Target="https://scholar.google.com.br/citations?hl=pt-BR&amp;view_op=list_hcore&amp;venue=yFTutsygf2gJ.2023" TargetMode="External"/><Relationship Id="rId131" Type="http://schemas.openxmlformats.org/officeDocument/2006/relationships/hyperlink" Target="https://dblp.org/db/conf/eucnc/index.html" TargetMode="External"/><Relationship Id="rId130" Type="http://schemas.openxmlformats.org/officeDocument/2006/relationships/hyperlink" Target="https://scholar.google.com.br/citations?hl=pt-BR&amp;view_op=list_hcore&amp;venue=NcKP0_ggixQJ.2023" TargetMode="External"/><Relationship Id="rId251" Type="http://schemas.openxmlformats.org/officeDocument/2006/relationships/drawing" Target="../drawings/drawing7.xml"/><Relationship Id="rId250" Type="http://schemas.openxmlformats.org/officeDocument/2006/relationships/hyperlink" Target="https://dblp.org/db/conf/wwic/index.html" TargetMode="External"/><Relationship Id="rId136" Type="http://schemas.openxmlformats.org/officeDocument/2006/relationships/hyperlink" Target="https://scholar.google.com.br/citations?hl=en&amp;view_op=list_hcore&amp;venue=gCzn4TRHFGQJ.2023" TargetMode="External"/><Relationship Id="rId135" Type="http://schemas.openxmlformats.org/officeDocument/2006/relationships/hyperlink" Target="https://dblp.org/db/conf/iswcs/index.html" TargetMode="External"/><Relationship Id="rId134" Type="http://schemas.openxmlformats.org/officeDocument/2006/relationships/hyperlink" Target="https://scholar.google.com.br/citations?hl=en&amp;view_op=list_hcore&amp;venue=bKvDXIhWqbQJ.2023" TargetMode="External"/><Relationship Id="rId133" Type="http://schemas.openxmlformats.org/officeDocument/2006/relationships/hyperlink" Target="https://dblp.org/db/conf/isc2/index.html" TargetMode="External"/><Relationship Id="rId62" Type="http://schemas.openxmlformats.org/officeDocument/2006/relationships/hyperlink" Target="https://scholar.google.com.br/citations?hl=en&amp;view_op=list_hcore&amp;venue=Y0aL1yWCdxkJ.2023" TargetMode="External"/><Relationship Id="rId61" Type="http://schemas.openxmlformats.org/officeDocument/2006/relationships/hyperlink" Target="https://dblp.org/db/conf/eurosys/index.html" TargetMode="External"/><Relationship Id="rId64" Type="http://schemas.openxmlformats.org/officeDocument/2006/relationships/hyperlink" Target="https://scholar.google.com.br/citations?hl=pt-BR&amp;view_op=list_hcore&amp;venue=J5PknEi03ZcJ.2023" TargetMode="External"/><Relationship Id="rId63" Type="http://schemas.openxmlformats.org/officeDocument/2006/relationships/hyperlink" Target="https://dblp.org/db/conf/vtc/index.html" TargetMode="External"/><Relationship Id="rId66" Type="http://schemas.openxmlformats.org/officeDocument/2006/relationships/hyperlink" Target="https://scholar.google.com.br/citations?hl=en&amp;view_op=list_hcore&amp;venue=Cge5_JoKLicJ.2023" TargetMode="External"/><Relationship Id="rId172" Type="http://schemas.openxmlformats.org/officeDocument/2006/relationships/hyperlink" Target="https://scholar.google.com/citations?hl=en&amp;view_op=list_hcore&amp;venue=xDYTOighRhwJ.2023" TargetMode="External"/><Relationship Id="rId65" Type="http://schemas.openxmlformats.org/officeDocument/2006/relationships/hyperlink" Target="https://dblp.org/db/conf/sigmetrics/index.html" TargetMode="External"/><Relationship Id="rId171" Type="http://schemas.openxmlformats.org/officeDocument/2006/relationships/hyperlink" Target="https://dblp.org/db/conf/lcn/index.html" TargetMode="External"/><Relationship Id="rId68" Type="http://schemas.openxmlformats.org/officeDocument/2006/relationships/hyperlink" Target="https://scholar.google.com/citations?hl=en&amp;view_op=list_hcore&amp;venue=MVYbyyKMpToJ.2023" TargetMode="External"/><Relationship Id="rId170" Type="http://schemas.openxmlformats.org/officeDocument/2006/relationships/hyperlink" Target="https://scholar.google.com.br/citations?hl=en&amp;view_op=list_hcore&amp;venue=-0SVTi_veasJ.2023" TargetMode="External"/><Relationship Id="rId67" Type="http://schemas.openxmlformats.org/officeDocument/2006/relationships/hyperlink" Target="https://dblp.org/db/conf/ipdps/index.html" TargetMode="External"/><Relationship Id="rId60" Type="http://schemas.openxmlformats.org/officeDocument/2006/relationships/hyperlink" Target="https://scholar.google.com/citations?hl=en&amp;view_op=list_hcore&amp;venue=8LhhnAnPYO8J.2023" TargetMode="External"/><Relationship Id="rId165" Type="http://schemas.openxmlformats.org/officeDocument/2006/relationships/hyperlink" Target="https://dblp.org/db/conf/vnc/index.html" TargetMode="External"/><Relationship Id="rId69" Type="http://schemas.openxmlformats.org/officeDocument/2006/relationships/hyperlink" Target="https://dblp.org/db/conf/dsn/index.html" TargetMode="External"/><Relationship Id="rId164" Type="http://schemas.openxmlformats.org/officeDocument/2006/relationships/hyperlink" Target="https://scholar.google.com.br/citations?hl=pt-BR&amp;view_op=list_hcore&amp;venue=Uiuel-P8PcAJ.2023" TargetMode="External"/><Relationship Id="rId163" Type="http://schemas.openxmlformats.org/officeDocument/2006/relationships/hyperlink" Target="https://dblp.org/db/conf/mass/index.html" TargetMode="External"/><Relationship Id="rId162" Type="http://schemas.openxmlformats.org/officeDocument/2006/relationships/hyperlink" Target="https://scholar.google.com.br/citations?hl=en&amp;view_op=list_hcore&amp;venue=R3zPuj5YyygJ.2023" TargetMode="External"/><Relationship Id="rId169" Type="http://schemas.openxmlformats.org/officeDocument/2006/relationships/hyperlink" Target="https://dblp.org/db/conf/icumt/index.html" TargetMode="External"/><Relationship Id="rId168" Type="http://schemas.openxmlformats.org/officeDocument/2006/relationships/hyperlink" Target="https://scholar.google.com.br/citations?hl=pt-BR&amp;view_op=list_hcore&amp;venue=Lpmu4bd0tVsJ.2023" TargetMode="External"/><Relationship Id="rId167" Type="http://schemas.openxmlformats.org/officeDocument/2006/relationships/hyperlink" Target="https://dblp.org/db/conf/mswim/index.html" TargetMode="External"/><Relationship Id="rId166" Type="http://schemas.openxmlformats.org/officeDocument/2006/relationships/hyperlink" Target="https://scholar.google.com.br/citations?hl=pt-BR&amp;view_op=list_hcore&amp;venue=7xyzSiMupzgJ.2023" TargetMode="External"/><Relationship Id="rId51" Type="http://schemas.openxmlformats.org/officeDocument/2006/relationships/hyperlink" Target="https://dblp.org/db/conf/uss/index.html" TargetMode="External"/><Relationship Id="rId50" Type="http://schemas.openxmlformats.org/officeDocument/2006/relationships/hyperlink" Target="https://scholar.google.com.br/citations?hl=en&amp;view_op=list_hcore&amp;venue=HSHJIaLyN9IJ.2023" TargetMode="External"/><Relationship Id="rId53" Type="http://schemas.openxmlformats.org/officeDocument/2006/relationships/hyperlink" Target="https://dblp.org/db/conf/ndss/index.html" TargetMode="External"/><Relationship Id="rId52" Type="http://schemas.openxmlformats.org/officeDocument/2006/relationships/hyperlink" Target="https://scholar.google.com.br/citations?hl=en&amp;view_op=list_hcore&amp;venue=q2FcImd5qbgJ.2023" TargetMode="External"/><Relationship Id="rId55" Type="http://schemas.openxmlformats.org/officeDocument/2006/relationships/hyperlink" Target="https://dblp.org/db/conf/atc/index.html" TargetMode="External"/><Relationship Id="rId161" Type="http://schemas.openxmlformats.org/officeDocument/2006/relationships/hyperlink" Target="https://dblp.org/db/conf/wiopt/index.html" TargetMode="External"/><Relationship Id="rId54" Type="http://schemas.openxmlformats.org/officeDocument/2006/relationships/hyperlink" Target="https://scholar.google.com/citations?hl=en&amp;view_op=list_hcore&amp;venue=UoM6MOnWKE8J.2023" TargetMode="External"/><Relationship Id="rId160" Type="http://schemas.openxmlformats.org/officeDocument/2006/relationships/hyperlink" Target="https://scholar.google.com.br/citations?hl=en&amp;view_op=list_hcore&amp;venue=wMDBJK-Wc7wJ.2023" TargetMode="External"/><Relationship Id="rId57" Type="http://schemas.openxmlformats.org/officeDocument/2006/relationships/hyperlink" Target="https://dblp.org/db/conf/itsc/index.html" TargetMode="External"/><Relationship Id="rId56" Type="http://schemas.openxmlformats.org/officeDocument/2006/relationships/hyperlink" Target="https://scholar.google.com/citations?hl=en&amp;view_op=list_hcore&amp;venue=F_tKvHBbkU8J.2023" TargetMode="External"/><Relationship Id="rId159" Type="http://schemas.openxmlformats.org/officeDocument/2006/relationships/hyperlink" Target="https://dblp.org/db/conf/cnsm/index.html" TargetMode="External"/><Relationship Id="rId59" Type="http://schemas.openxmlformats.org/officeDocument/2006/relationships/hyperlink" Target="https://dblp.org/db/conf/osdi/index.html" TargetMode="External"/><Relationship Id="rId154" Type="http://schemas.openxmlformats.org/officeDocument/2006/relationships/hyperlink" Target="https://scholar.google.com.br/citations?hl=pt-BR&amp;view_op=list_hcore&amp;venue=oN_amMDfj5sJ.2023" TargetMode="External"/><Relationship Id="rId58" Type="http://schemas.openxmlformats.org/officeDocument/2006/relationships/hyperlink" Target="https://scholar.google.com.br/citations?hl=en&amp;view_op=list_hcore&amp;venue=nZZ8G3Einp0J.2023" TargetMode="External"/><Relationship Id="rId153" Type="http://schemas.openxmlformats.org/officeDocument/2006/relationships/hyperlink" Target="https://dblp.org/db/conf/wimob/index.html" TargetMode="External"/><Relationship Id="rId152" Type="http://schemas.openxmlformats.org/officeDocument/2006/relationships/hyperlink" Target="https://scholar.google.com.br/citations?hl=en&amp;view_op=list_hcore&amp;venue=93OvvQzt_GcJ.2023" TargetMode="External"/><Relationship Id="rId151" Type="http://schemas.openxmlformats.org/officeDocument/2006/relationships/hyperlink" Target="https://dblp.org/db/conf/pam/index.html" TargetMode="External"/><Relationship Id="rId158" Type="http://schemas.openxmlformats.org/officeDocument/2006/relationships/hyperlink" Target="https://scholar.google.com.br/citations?hl=en&amp;view_op=list_hcore&amp;venue=D9Ngi53e3FUJ.2023" TargetMode="External"/><Relationship Id="rId157" Type="http://schemas.openxmlformats.org/officeDocument/2006/relationships/hyperlink" Target="https://dblp.org/db/conf/nca/index.html" TargetMode="External"/><Relationship Id="rId156" Type="http://schemas.openxmlformats.org/officeDocument/2006/relationships/hyperlink" Target="https://scholar.google.com.br/citations?hl=pt-BR&amp;view_op=list_hcore&amp;venue=lTgG3I7tby0J.2023" TargetMode="External"/><Relationship Id="rId155" Type="http://schemas.openxmlformats.org/officeDocument/2006/relationships/hyperlink" Target="https://dblp.org/db/conf/icdcn/index.html" TargetMode="External"/><Relationship Id="rId107" Type="http://schemas.openxmlformats.org/officeDocument/2006/relationships/hyperlink" Target="https://dblp.org/db/conf/iwcmc/index.html" TargetMode="External"/><Relationship Id="rId228" Type="http://schemas.openxmlformats.org/officeDocument/2006/relationships/hyperlink" Target="https://scholar.google.com/citations?hl=pt-BR&amp;view_op=list_hcore&amp;venue=sTp_oa_iyPIJ.2024" TargetMode="External"/><Relationship Id="rId106" Type="http://schemas.openxmlformats.org/officeDocument/2006/relationships/hyperlink" Target="https://scholar.google.com.br/citations?hl=en&amp;view_op=list_hcore&amp;venue=VmAg1pGpY18J.2023" TargetMode="External"/><Relationship Id="rId227" Type="http://schemas.openxmlformats.org/officeDocument/2006/relationships/hyperlink" Target="https://dblp.org/db/conf/wcnc/index.html" TargetMode="External"/><Relationship Id="rId105" Type="http://schemas.openxmlformats.org/officeDocument/2006/relationships/hyperlink" Target="https://dblp.org/db/conf/noms/index.html" TargetMode="External"/><Relationship Id="rId226" Type="http://schemas.openxmlformats.org/officeDocument/2006/relationships/hyperlink" Target="https://dblp.org/db/conf/ewsdn/index.html" TargetMode="External"/><Relationship Id="rId104" Type="http://schemas.openxmlformats.org/officeDocument/2006/relationships/hyperlink" Target="https://scholar.google.com.br/citations?hl=en&amp;view_op=list_hcore&amp;venue=DWJBNISV1bQJ.2023" TargetMode="External"/><Relationship Id="rId225" Type="http://schemas.openxmlformats.org/officeDocument/2006/relationships/hyperlink" Target="https://dblp.org/db/conf/adhoc-now/index.html" TargetMode="External"/><Relationship Id="rId109" Type="http://schemas.openxmlformats.org/officeDocument/2006/relationships/hyperlink" Target="https://dblp.org/db/conf/iscc/index.html" TargetMode="External"/><Relationship Id="rId108" Type="http://schemas.openxmlformats.org/officeDocument/2006/relationships/hyperlink" Target="https://scholar.google.com.br/citations?hl=en&amp;view_op=list_hcore&amp;venue=0jK8bHjCH68J.2023" TargetMode="External"/><Relationship Id="rId229" Type="http://schemas.openxmlformats.org/officeDocument/2006/relationships/hyperlink" Target="https://dblp.org/db/conf/ewsn/index.html" TargetMode="External"/><Relationship Id="rId220" Type="http://schemas.openxmlformats.org/officeDocument/2006/relationships/hyperlink" Target="https://dblp.org/db/conf/isads/index.html" TargetMode="External"/><Relationship Id="rId103" Type="http://schemas.openxmlformats.org/officeDocument/2006/relationships/hyperlink" Target="https://dblp.org/db/conf/ccnc/index.html" TargetMode="External"/><Relationship Id="rId224" Type="http://schemas.openxmlformats.org/officeDocument/2006/relationships/hyperlink" Target="https://dblp.org/db/conf/drcn/index.html" TargetMode="External"/><Relationship Id="rId102" Type="http://schemas.openxmlformats.org/officeDocument/2006/relationships/hyperlink" Target="https://scholar.google.com.br/citations?hl=en&amp;view_op=list_hcore&amp;venue=IzHKIKh35TsJ.2023" TargetMode="External"/><Relationship Id="rId223" Type="http://schemas.openxmlformats.org/officeDocument/2006/relationships/hyperlink" Target="https://dblp.org/db/conf/idcs/index.html" TargetMode="External"/><Relationship Id="rId101" Type="http://schemas.openxmlformats.org/officeDocument/2006/relationships/hyperlink" Target="https://dblp.org/db/conf/wf-iot/index.html" TargetMode="External"/><Relationship Id="rId222" Type="http://schemas.openxmlformats.org/officeDocument/2006/relationships/hyperlink" Target="https://dblp.org/db/conf/medhocnet/index.html" TargetMode="External"/><Relationship Id="rId100" Type="http://schemas.openxmlformats.org/officeDocument/2006/relationships/hyperlink" Target="https://scholar.google.com.br/citations?hl=pt-BR&amp;view_op=list_hcore&amp;venue=gSjQo1cwB88J.2023" TargetMode="External"/><Relationship Id="rId221" Type="http://schemas.openxmlformats.org/officeDocument/2006/relationships/hyperlink" Target="https://scholar.google.com/citations?hl=pt-BR&amp;view_op=search_venues&amp;vq=Mediterranean+Communication+and+Computer+Networking+Conference&amp;btnG=" TargetMode="External"/><Relationship Id="rId217" Type="http://schemas.openxmlformats.org/officeDocument/2006/relationships/hyperlink" Target="https://dblp.org/db/conf/ict/index.html" TargetMode="External"/><Relationship Id="rId216" Type="http://schemas.openxmlformats.org/officeDocument/2006/relationships/hyperlink" Target="https://dblp.org/db/conf/ancs/index.html" TargetMode="External"/><Relationship Id="rId215" Type="http://schemas.openxmlformats.org/officeDocument/2006/relationships/hyperlink" Target="https://dblp.org/db/conf/fnwf/index.html" TargetMode="External"/><Relationship Id="rId214" Type="http://schemas.openxmlformats.org/officeDocument/2006/relationships/hyperlink" Target="https://scholar.google.com.br/citations?hl=pt-BR&amp;view_op=list_hcore&amp;venue=MhundaNt3scJ.2023" TargetMode="External"/><Relationship Id="rId219" Type="http://schemas.openxmlformats.org/officeDocument/2006/relationships/hyperlink" Target="https://dblp.org/db/conf/apnoms/index.html" TargetMode="External"/><Relationship Id="rId218" Type="http://schemas.openxmlformats.org/officeDocument/2006/relationships/hyperlink" Target="https://dblp.org/db/conf/wmnc/index.html" TargetMode="External"/><Relationship Id="rId213" Type="http://schemas.openxmlformats.org/officeDocument/2006/relationships/hyperlink" Target="https://dblp.org/db/conf/meditcom/index.html" TargetMode="External"/><Relationship Id="rId212" Type="http://schemas.openxmlformats.org/officeDocument/2006/relationships/hyperlink" Target="https://scholar.google.com.br/citations?hl=pt-BR&amp;view_op=list_hcore&amp;venue=d4PPIblacy8J.2023" TargetMode="External"/><Relationship Id="rId211" Type="http://schemas.openxmlformats.org/officeDocument/2006/relationships/hyperlink" Target="https://dblp.org/db/conf/healthcom/index.html" TargetMode="External"/><Relationship Id="rId210" Type="http://schemas.openxmlformats.org/officeDocument/2006/relationships/hyperlink" Target="https://scholar.google.com/citations?hl=en&amp;view_op=list_hcore&amp;venue=MfW4vBJSWVEJ.2023" TargetMode="External"/><Relationship Id="rId129" Type="http://schemas.openxmlformats.org/officeDocument/2006/relationships/hyperlink" Target="https://dblp.org/db/conf/disc/index.html" TargetMode="External"/><Relationship Id="rId128" Type="http://schemas.openxmlformats.org/officeDocument/2006/relationships/hyperlink" Target="https://scholar.google.com.br/citations?hl=en&amp;view_op=list_hcore&amp;venue=I09_2V3FJhwJ.2023" TargetMode="External"/><Relationship Id="rId249" Type="http://schemas.openxmlformats.org/officeDocument/2006/relationships/hyperlink" Target="https://dblp.org/db/conf/icc/index.html" TargetMode="External"/><Relationship Id="rId127" Type="http://schemas.openxmlformats.org/officeDocument/2006/relationships/hyperlink" Target="https://dblp.org/db/conf/wowmom/index.html" TargetMode="External"/><Relationship Id="rId248" Type="http://schemas.openxmlformats.org/officeDocument/2006/relationships/hyperlink" Target="https://scholar.google.com/scholar?as_q=&amp;as_epq=&amp;as_oq=&amp;as_eq=&amp;as_occt=any&amp;as_sauthors=&amp;as_publication=International+Conference+on+Communications+Workshops&amp;as_ylo=2020&amp;as_yhi=2024&amp;hl=pt-BR&amp;as_sdt=0%2C5" TargetMode="External"/><Relationship Id="rId126" Type="http://schemas.openxmlformats.org/officeDocument/2006/relationships/hyperlink" Target="https://scholar.google.com.br/citations?hl=en&amp;view_op=list_hcore&amp;venue=N_9FWgf0qxMJ.2023" TargetMode="External"/><Relationship Id="rId247" Type="http://schemas.openxmlformats.org/officeDocument/2006/relationships/hyperlink" Target="https://scholar.google.com.br/citations?hl=en&amp;view_op=list_hcore&amp;venue=P7JmirE2spgJ.2024" TargetMode="External"/><Relationship Id="rId121" Type="http://schemas.openxmlformats.org/officeDocument/2006/relationships/hyperlink" Target="https://dblp.org/db/conf/netsoft/index.html" TargetMode="External"/><Relationship Id="rId242" Type="http://schemas.openxmlformats.org/officeDocument/2006/relationships/hyperlink" Target="https://dblp.org/db/conf/wons/index.html" TargetMode="External"/><Relationship Id="rId120" Type="http://schemas.openxmlformats.org/officeDocument/2006/relationships/hyperlink" Target="https://scholar.google.com/citations?hl=en&amp;view_op=list_hcore&amp;venue=7uhFfRV5cUQJ.2023" TargetMode="External"/><Relationship Id="rId241" Type="http://schemas.openxmlformats.org/officeDocument/2006/relationships/hyperlink" Target="https://scholar.google.com/scholar?as_q=&amp;as_epq=&amp;as_oq=&amp;as_eq=&amp;as_occt=any&amp;as_sauthors=&amp;as_publication=Wireless+On-demand+Network+systems+and+Services+Conference&amp;as_ylo=2020&amp;as_yhi=2024&amp;hl=pt-BR&amp;as_sdt=0%2C5" TargetMode="External"/><Relationship Id="rId240" Type="http://schemas.openxmlformats.org/officeDocument/2006/relationships/hyperlink" Target="https://biblioteca.sbrt.org.br/" TargetMode="External"/><Relationship Id="rId125" Type="http://schemas.openxmlformats.org/officeDocument/2006/relationships/hyperlink" Target="https://dblp.org/db/conf/camad/index.html" TargetMode="External"/><Relationship Id="rId246" Type="http://schemas.openxmlformats.org/officeDocument/2006/relationships/hyperlink" Target="https://dblp.org/db/conf/infocom/index.html" TargetMode="External"/><Relationship Id="rId124" Type="http://schemas.openxmlformats.org/officeDocument/2006/relationships/hyperlink" Target="https://scholar.google.com.br/citations?hl=pt-BR&amp;view_op=list_hcore&amp;venue=zsyVgJ0BX8MJ.2023" TargetMode="External"/><Relationship Id="rId245" Type="http://schemas.openxmlformats.org/officeDocument/2006/relationships/hyperlink" Target="https://scholar.google.com/scholar?as_q=&amp;as_epq=&amp;as_oq=&amp;as_eq=&amp;as_occt=any&amp;as_sauthors=&amp;as_publication=IEEE+Conference+on+Computer+Communications+Workshops&amp;as_ylo=2019&amp;as_yhi=2023&amp;hl=pt-BR&amp;as_sdt=0%2C5" TargetMode="External"/><Relationship Id="rId123" Type="http://schemas.openxmlformats.org/officeDocument/2006/relationships/hyperlink" Target="https://dblp.org/db/conf/smartgridcomm/index.html" TargetMode="External"/><Relationship Id="rId244" Type="http://schemas.openxmlformats.org/officeDocument/2006/relationships/hyperlink" Target="https://dblp.org/db/conf/percom/index.html" TargetMode="External"/><Relationship Id="rId122" Type="http://schemas.openxmlformats.org/officeDocument/2006/relationships/hyperlink" Target="https://scholar.google.com.br/citations?hl=en&amp;view_op=list_hcore&amp;venue=SnwrCbSeOf8J.2023" TargetMode="External"/><Relationship Id="rId243" Type="http://schemas.openxmlformats.org/officeDocument/2006/relationships/hyperlink" Target="https://scholar.google.com.br/citations?hl=pt-BR&amp;view_op=list_hcore&amp;venue=v9ZWX-p6j-gJ.2024" TargetMode="External"/><Relationship Id="rId95" Type="http://schemas.openxmlformats.org/officeDocument/2006/relationships/hyperlink" Target="https://dblp.org/db/conf/pdp/index.html" TargetMode="External"/><Relationship Id="rId94" Type="http://schemas.openxmlformats.org/officeDocument/2006/relationships/hyperlink" Target="https://scholar.google.com.br/citations?hl=en&amp;view_op=list_hcore&amp;venue=YhI5DwI2n2gJ.2023" TargetMode="External"/><Relationship Id="rId97" Type="http://schemas.openxmlformats.org/officeDocument/2006/relationships/hyperlink" Target="https://dblp.org/db/conf/europar/index.html" TargetMode="External"/><Relationship Id="rId96" Type="http://schemas.openxmlformats.org/officeDocument/2006/relationships/hyperlink" Target="https://scholar.google.com.br/citations?hl=en&amp;view_op=list_hcore&amp;venue=tOMY2Y_aVTMJ.2023" TargetMode="External"/><Relationship Id="rId99" Type="http://schemas.openxmlformats.org/officeDocument/2006/relationships/hyperlink" Target="https://dblp.org/db/conf/srds/index.html" TargetMode="External"/><Relationship Id="rId98" Type="http://schemas.openxmlformats.org/officeDocument/2006/relationships/hyperlink" Target="https://scholar.google.com.br/citations?hl=en&amp;view_op=list_hcore&amp;venue=f5ybybsCQdkJ.2023" TargetMode="External"/><Relationship Id="rId91" Type="http://schemas.openxmlformats.org/officeDocument/2006/relationships/hyperlink" Target="https://dblp.org/db/conf/hpdc/index.html" TargetMode="External"/><Relationship Id="rId90" Type="http://schemas.openxmlformats.org/officeDocument/2006/relationships/hyperlink" Target="https://scholar.google.com.br/citations?hl=en&amp;view_op=list_hcore&amp;venue=VcBBCUw4gmMJ.2023" TargetMode="External"/><Relationship Id="rId93" Type="http://schemas.openxmlformats.org/officeDocument/2006/relationships/hyperlink" Target="https://dblp.org/db/conf/middleware/index.html" TargetMode="External"/><Relationship Id="rId92" Type="http://schemas.openxmlformats.org/officeDocument/2006/relationships/hyperlink" Target="https://scholar.google.com.br/citations?hl=en&amp;view_op=list_hcore&amp;venue=NA4iP0Rm0toJ.2023" TargetMode="External"/><Relationship Id="rId118" Type="http://schemas.openxmlformats.org/officeDocument/2006/relationships/hyperlink" Target="https://scholar.google.com.br/citations?hl=pt-BR&amp;view_op=list_hcore&amp;venue=fw0ZUVavHdsJ.2023" TargetMode="External"/><Relationship Id="rId239" Type="http://schemas.openxmlformats.org/officeDocument/2006/relationships/hyperlink" Target="https://dblp.org/db/conf/mass/index.html" TargetMode="External"/><Relationship Id="rId117" Type="http://schemas.openxmlformats.org/officeDocument/2006/relationships/hyperlink" Target="https://dblp.org/db/conf/icccn/index.html" TargetMode="External"/><Relationship Id="rId238" Type="http://schemas.openxmlformats.org/officeDocument/2006/relationships/hyperlink" Target="https://dblp.org/db/conf/lanman/index.html" TargetMode="External"/><Relationship Id="rId116" Type="http://schemas.openxmlformats.org/officeDocument/2006/relationships/hyperlink" Target="https://scholar.google.com.br/citations?hl=en&amp;view_op=list_hcore&amp;venue=DstJkgVOjywJ.2023" TargetMode="External"/><Relationship Id="rId237" Type="http://schemas.openxmlformats.org/officeDocument/2006/relationships/hyperlink" Target="https://dblp.org/db/conf/latincloud/index.html" TargetMode="External"/><Relationship Id="rId115" Type="http://schemas.openxmlformats.org/officeDocument/2006/relationships/hyperlink" Target="https://dblp.org/db/conf/comsnets/index.html" TargetMode="External"/><Relationship Id="rId236" Type="http://schemas.openxmlformats.org/officeDocument/2006/relationships/hyperlink" Target="https://dblp.org/db/conf/lanoms/index.html" TargetMode="External"/><Relationship Id="rId119" Type="http://schemas.openxmlformats.org/officeDocument/2006/relationships/hyperlink" Target="https://dblp.org/db/conf/wcncw/index.html" TargetMode="External"/><Relationship Id="rId110" Type="http://schemas.openxmlformats.org/officeDocument/2006/relationships/hyperlink" Target="https://scholar.google.com.br/citations?hl=en&amp;view_op=list_hcore&amp;venue=Vhi1mcaJdXEJ.2023" TargetMode="External"/><Relationship Id="rId231" Type="http://schemas.openxmlformats.org/officeDocument/2006/relationships/hyperlink" Target="https://dblp.org/db/conf/mobiwac/index.html" TargetMode="External"/><Relationship Id="rId230" Type="http://schemas.openxmlformats.org/officeDocument/2006/relationships/hyperlink" Target="https://dblp.org/db/conf/greencom/index.html" TargetMode="External"/><Relationship Id="rId114" Type="http://schemas.openxmlformats.org/officeDocument/2006/relationships/hyperlink" Target="https://scholar.google.com.br/citations?hl=en&amp;view_op=list_hcore&amp;venue=zHwZkHkaM2EJ.2023" TargetMode="External"/><Relationship Id="rId235" Type="http://schemas.openxmlformats.org/officeDocument/2006/relationships/hyperlink" Target="https://dblp.org/db/conf/lanc/index.html" TargetMode="External"/><Relationship Id="rId113" Type="http://schemas.openxmlformats.org/officeDocument/2006/relationships/hyperlink" Target="https://dblp.org/db/conf/icoin/index.html" TargetMode="External"/><Relationship Id="rId234" Type="http://schemas.openxmlformats.org/officeDocument/2006/relationships/hyperlink" Target="https://dblp.org/db/conf/mswim/index.html" TargetMode="External"/><Relationship Id="rId112" Type="http://schemas.openxmlformats.org/officeDocument/2006/relationships/hyperlink" Target="https://scholar.google.com.br/citations?hl=en&amp;view_op=list_hcore&amp;venue=5Xez39t0_4UJ.2023" TargetMode="External"/><Relationship Id="rId233" Type="http://schemas.openxmlformats.org/officeDocument/2006/relationships/hyperlink" Target="https://dblp.org/db/conf/pe-wasun/index.html" TargetMode="External"/><Relationship Id="rId111" Type="http://schemas.openxmlformats.org/officeDocument/2006/relationships/hyperlink" Target="https://dblp.org/db/conf/secon/index.html" TargetMode="External"/><Relationship Id="rId232" Type="http://schemas.openxmlformats.org/officeDocument/2006/relationships/hyperlink" Target="https://dblp.org/db/conf/new2an/index.html" TargetMode="External"/><Relationship Id="rId206" Type="http://schemas.openxmlformats.org/officeDocument/2006/relationships/hyperlink" Target="https://scholar.google.com.br/citations?hl=pt-BR&amp;view_op=list_hcore&amp;venue=mg4DaRHarRgJ.2023" TargetMode="External"/><Relationship Id="rId205" Type="http://schemas.openxmlformats.org/officeDocument/2006/relationships/hyperlink" Target="https://dblp.org/db/conf/netsys/index.html" TargetMode="External"/><Relationship Id="rId204" Type="http://schemas.openxmlformats.org/officeDocument/2006/relationships/hyperlink" Target="https://scholar.google.com.br/citations?hl=pt-BR&amp;view_op=list_hcore&amp;venue=a1PaC1R5uZ8J.2023" TargetMode="External"/><Relationship Id="rId203" Type="http://schemas.openxmlformats.org/officeDocument/2006/relationships/hyperlink" Target="https://dblp.org/db/conf/imis/index.html" TargetMode="External"/><Relationship Id="rId209" Type="http://schemas.openxmlformats.org/officeDocument/2006/relationships/hyperlink" Target="https://dblp.org/db/conf/latincom/index.html" TargetMode="External"/><Relationship Id="rId208" Type="http://schemas.openxmlformats.org/officeDocument/2006/relationships/hyperlink" Target="https://scholar.google.com.br/citations?hl=pt-BR&amp;view_op=list_hcore&amp;venue=P88GQzAGJOcJ.2023" TargetMode="External"/><Relationship Id="rId207" Type="http://schemas.openxmlformats.org/officeDocument/2006/relationships/hyperlink" Target="https://dblp.org/db/conf/nof/index.html" TargetMode="External"/><Relationship Id="rId202" Type="http://schemas.openxmlformats.org/officeDocument/2006/relationships/hyperlink" Target="https://scholar.google.com.br/citations?hl=en&amp;view_op=list_hcore&amp;venue=6Xfj7Y8gKaYJ.2023" TargetMode="External"/><Relationship Id="rId201" Type="http://schemas.openxmlformats.org/officeDocument/2006/relationships/hyperlink" Target="https://dblp.org/db/conf/msn/index.html" TargetMode="External"/><Relationship Id="rId200" Type="http://schemas.openxmlformats.org/officeDocument/2006/relationships/hyperlink" Target="https://scholar.google.com.br/citations?hl=pt-BR&amp;view_op=list_hcore&amp;venue=neOh05x3OTMJ.2023" TargetMode="External"/></Relationships>
</file>

<file path=xl/worksheets/_rels/sheet8.xml.rels><?xml version="1.0" encoding="UTF-8" standalone="yes"?><Relationships xmlns="http://schemas.openxmlformats.org/package/2006/relationships"><Relationship Id="rId40" Type="http://schemas.openxmlformats.org/officeDocument/2006/relationships/hyperlink" Target="https://scholar.google.com/citations?hl=en&amp;view_op=list_hcore&amp;venue=Pbr-U05RvUoJ.2020" TargetMode="External"/><Relationship Id="rId42" Type="http://schemas.openxmlformats.org/officeDocument/2006/relationships/hyperlink" Target="https://scholar.google.com/citations?hl=en&amp;view_op=list_hcore&amp;venue=MbouORldYUUJ.2020" TargetMode="External"/><Relationship Id="rId41" Type="http://schemas.openxmlformats.org/officeDocument/2006/relationships/hyperlink" Target="https://scholar.google.com/citations?hl=en&amp;view_op=list_hcore&amp;venue=b6kmtyBpsCcJ.2020" TargetMode="External"/><Relationship Id="rId44" Type="http://schemas.openxmlformats.org/officeDocument/2006/relationships/hyperlink" Target="https://scholar.google.com/citations?hl=en&amp;view_op=list_hcore&amp;venue=X5iIIuMWM_8J.2020" TargetMode="External"/><Relationship Id="rId43" Type="http://schemas.openxmlformats.org/officeDocument/2006/relationships/hyperlink" Target="https://scholar.google.com/citations?hl=en&amp;view_op=list_hcore&amp;venue=fNsEtErxZiIJ.2020" TargetMode="External"/><Relationship Id="rId46" Type="http://schemas.openxmlformats.org/officeDocument/2006/relationships/hyperlink" Target="https://scholar.google.com/citations?hl=en&amp;view_op=list_hcore&amp;venue=QJsHI8scVfoJ.2020" TargetMode="External"/><Relationship Id="rId45" Type="http://schemas.openxmlformats.org/officeDocument/2006/relationships/hyperlink" Target="https://scholar.google.com/citations?hl=en&amp;view_op=list_hcore&amp;venue=cTek1BiAOX4J.2020" TargetMode="External"/><Relationship Id="rId48" Type="http://schemas.openxmlformats.org/officeDocument/2006/relationships/hyperlink" Target="https://scholar.google.com/citations?hl=en&amp;view_op=list_hcore&amp;venue=LLCdED38YXkJ.2020" TargetMode="External"/><Relationship Id="rId47" Type="http://schemas.openxmlformats.org/officeDocument/2006/relationships/hyperlink" Target="https://scholar.google.com/citations?hl=en&amp;view_op=list_hcore&amp;venue=3EfEMUAKK7wJ.2020" TargetMode="External"/><Relationship Id="rId49" Type="http://schemas.openxmlformats.org/officeDocument/2006/relationships/hyperlink" Target="https://scholar.google.com/citations?hl=en&amp;view_op=list_hcore&amp;venue=3_Q6Rsb1TloJ.2020" TargetMode="External"/><Relationship Id="rId31" Type="http://schemas.openxmlformats.org/officeDocument/2006/relationships/hyperlink" Target="https://scholar.google.com/citations?hl=en&amp;view_op=list_hcore&amp;venue=jeVF5tN0JH4J.2020" TargetMode="External"/><Relationship Id="rId30" Type="http://schemas.openxmlformats.org/officeDocument/2006/relationships/hyperlink" Target="https://scholar.google.com/citations?hl=en&amp;view_op=list_hcore&amp;venue=5GsHps3NV78J.2020" TargetMode="External"/><Relationship Id="rId33" Type="http://schemas.openxmlformats.org/officeDocument/2006/relationships/hyperlink" Target="https://scholar.google.com/citations?hl=en&amp;view_op=list_hcore&amp;venue=YI-90EccamMJ.2020" TargetMode="External"/><Relationship Id="rId32" Type="http://schemas.openxmlformats.org/officeDocument/2006/relationships/hyperlink" Target="https://scholar.google.com/citations?hl=en&amp;view_op=list_hcore&amp;venue=vvYv-MYYfD0J.2020" TargetMode="External"/><Relationship Id="rId35" Type="http://schemas.openxmlformats.org/officeDocument/2006/relationships/hyperlink" Target="https://scholar.google.com/citations?hl=en&amp;view_op=list_hcore&amp;venue=F-LopY4ucWMJ.2020" TargetMode="External"/><Relationship Id="rId34" Type="http://schemas.openxmlformats.org/officeDocument/2006/relationships/hyperlink" Target="https://scholar.google.com/citations?hl=en&amp;view_op=list_hcore&amp;venue=heT8SiJEaWsJ.2020" TargetMode="External"/><Relationship Id="rId37" Type="http://schemas.openxmlformats.org/officeDocument/2006/relationships/hyperlink" Target="https://scholar.google.com/citations?hl=en&amp;view_op=list_hcore&amp;venue=hedKTD2-CbAJ.2020" TargetMode="External"/><Relationship Id="rId36" Type="http://schemas.openxmlformats.org/officeDocument/2006/relationships/hyperlink" Target="https://scholar.google.com/citations?hl=en&amp;view_op=list_hcore&amp;venue=OgfFzjmc8_gJ.2020" TargetMode="External"/><Relationship Id="rId39" Type="http://schemas.openxmlformats.org/officeDocument/2006/relationships/hyperlink" Target="https://scholar.google.com/citations?hl=en&amp;view_op=list_hcore&amp;venue=zwftP5XWkKIJ.2020" TargetMode="External"/><Relationship Id="rId38" Type="http://schemas.openxmlformats.org/officeDocument/2006/relationships/hyperlink" Target="https://scholar.google.com/citations?hl=en&amp;view_op=list_hcore&amp;venue=VHOTIHOcvjcJ.2020" TargetMode="External"/><Relationship Id="rId20" Type="http://schemas.openxmlformats.org/officeDocument/2006/relationships/hyperlink" Target="https://scholar.google.com/citations?hl=en&amp;view_op=list_hcore&amp;venue=JUcVqGhEKJsJ.2020" TargetMode="External"/><Relationship Id="rId22" Type="http://schemas.openxmlformats.org/officeDocument/2006/relationships/hyperlink" Target="https://scholar.google.com/citations?hl=en&amp;view_op=list_hcore&amp;venue=1dJxuEkKfpEJ.2020" TargetMode="External"/><Relationship Id="rId21" Type="http://schemas.openxmlformats.org/officeDocument/2006/relationships/hyperlink" Target="https://scholar.google.com/citations?hl=en&amp;view_op=list_hcore&amp;venue=tgZe9odv5lUJ.2020" TargetMode="External"/><Relationship Id="rId24" Type="http://schemas.openxmlformats.org/officeDocument/2006/relationships/hyperlink" Target="https://scholar.google.com/citations?hl=en&amp;view_op=list_hcore&amp;venue=uyMX5yvvkyoJ.2020" TargetMode="External"/><Relationship Id="rId23" Type="http://schemas.openxmlformats.org/officeDocument/2006/relationships/hyperlink" Target="https://scholar.google.com/citations?hl=en&amp;view_op=list_hcore&amp;venue=oGDa9y0RKw8J.2020" TargetMode="External"/><Relationship Id="rId26" Type="http://schemas.openxmlformats.org/officeDocument/2006/relationships/hyperlink" Target="https://scholar.google.com/citations?hl=en&amp;view_op=list_hcore&amp;venue=eAoE06EVARcJ.2020" TargetMode="External"/><Relationship Id="rId25" Type="http://schemas.openxmlformats.org/officeDocument/2006/relationships/hyperlink" Target="https://scholar.google.com/citations?hl=en&amp;view_op=list_hcore&amp;venue=j7dS7aP2eTEJ.2020" TargetMode="External"/><Relationship Id="rId28" Type="http://schemas.openxmlformats.org/officeDocument/2006/relationships/hyperlink" Target="https://scholar.google.com/citations?hl=en&amp;view_op=list_hcore&amp;venue=nvZjR0BHub4J.2020" TargetMode="External"/><Relationship Id="rId27" Type="http://schemas.openxmlformats.org/officeDocument/2006/relationships/hyperlink" Target="https://scholar.google.com/citations?hl=en&amp;view_op=list_hcore&amp;venue=IRnEg4i2mP4J.2020" TargetMode="External"/><Relationship Id="rId29" Type="http://schemas.openxmlformats.org/officeDocument/2006/relationships/hyperlink" Target="https://scholar.google.com/citations?hl=en&amp;view_op=list_hcore&amp;venue=GCpVsRNBp7cJ.2020" TargetMode="External"/><Relationship Id="rId11" Type="http://schemas.openxmlformats.org/officeDocument/2006/relationships/hyperlink" Target="https://scholar.google.com/citations?hl=en&amp;view_op=list_hcore&amp;venue=eX0qXcAClWoJ.2020" TargetMode="External"/><Relationship Id="rId10" Type="http://schemas.openxmlformats.org/officeDocument/2006/relationships/hyperlink" Target="https://scholar.google.com/citations?hl=en&amp;view_op=list_hcore&amp;venue=QTCI2sX39qUJ.2020" TargetMode="External"/><Relationship Id="rId13" Type="http://schemas.openxmlformats.org/officeDocument/2006/relationships/hyperlink" Target="https://scholar.google.com/citations?hl=en&amp;view_op=list_hcore&amp;venue=E-Dt3HzExLsJ.2020" TargetMode="External"/><Relationship Id="rId12" Type="http://schemas.openxmlformats.org/officeDocument/2006/relationships/hyperlink" Target="https://scholar.google.com/citations?hl=en&amp;view_op=list_hcore&amp;venue=w8zcF49hRv8J.2020" TargetMode="External"/><Relationship Id="rId15" Type="http://schemas.openxmlformats.org/officeDocument/2006/relationships/hyperlink" Target="https://scholar.google.com/citations?hl=en&amp;view_op=list_hcore&amp;venue=bcF8fuNAeawJ.2020" TargetMode="External"/><Relationship Id="rId14" Type="http://schemas.openxmlformats.org/officeDocument/2006/relationships/hyperlink" Target="https://scholar.google.com/citations?hl=en&amp;view_op=list_hcore&amp;venue=in-bLtIuMBYJ.2020" TargetMode="External"/><Relationship Id="rId17" Type="http://schemas.openxmlformats.org/officeDocument/2006/relationships/hyperlink" Target="https://scholar.google.com/citations?hl=en&amp;view_op=list_hcore&amp;venue=k40T75326PgJ.2020" TargetMode="External"/><Relationship Id="rId16" Type="http://schemas.openxmlformats.org/officeDocument/2006/relationships/hyperlink" Target="https://scholar.google.com/citations?hl=en&amp;view_op=list_hcore&amp;venue=mll7l7Q4NakJ.2020" TargetMode="External"/><Relationship Id="rId19" Type="http://schemas.openxmlformats.org/officeDocument/2006/relationships/hyperlink" Target="https://scholar.google.com/citations?hl=en&amp;view_op=list_hcore&amp;venue=ke1g66ZJCWoJ.2020" TargetMode="External"/><Relationship Id="rId18" Type="http://schemas.openxmlformats.org/officeDocument/2006/relationships/hyperlink" Target="https://scholar.google.com/citations?hl=en&amp;view_op=list_hcore&amp;venue=KMzWyzFUAoQJ.2020" TargetMode="External"/><Relationship Id="rId1" Type="http://schemas.openxmlformats.org/officeDocument/2006/relationships/hyperlink" Target="https://scholar.google.com/citations?hl=en&amp;view_op=list_hcore&amp;venue=Z88T8Kej-9oJ.2020" TargetMode="External"/><Relationship Id="rId2" Type="http://schemas.openxmlformats.org/officeDocument/2006/relationships/hyperlink" Target="https://scholar.google.com/citations?hl=en&amp;view_op=list_hcore&amp;venue=QZ31s4XlF8EJ.2020" TargetMode="External"/><Relationship Id="rId3" Type="http://schemas.openxmlformats.org/officeDocument/2006/relationships/hyperlink" Target="https://scholar.google.com/citations?hl=en&amp;view_op=list_hcore&amp;venue=jl5pTV5Sh0AJ.2020" TargetMode="External"/><Relationship Id="rId4" Type="http://schemas.openxmlformats.org/officeDocument/2006/relationships/hyperlink" Target="https://scholar.google.com/citations?hl=en&amp;view_op=list_hcore&amp;venue=D6qw-B7Hrk0J.2020" TargetMode="External"/><Relationship Id="rId9" Type="http://schemas.openxmlformats.org/officeDocument/2006/relationships/hyperlink" Target="https://scholar.google.com/citations?hl=en&amp;view_op=list_hcore&amp;venue=iJOqTiZA0TgJ.2020" TargetMode="External"/><Relationship Id="rId5" Type="http://schemas.openxmlformats.org/officeDocument/2006/relationships/hyperlink" Target="https://scholar.google.com/citations?hl=en&amp;view_op=list_hcore&amp;venue=kWi-GfxuXpEJ.2020" TargetMode="External"/><Relationship Id="rId6" Type="http://schemas.openxmlformats.org/officeDocument/2006/relationships/hyperlink" Target="https://scholar.google.com/citations?hl=en&amp;view_op=list_hcore&amp;venue=cvOaqvRdsZQJ.2020" TargetMode="External"/><Relationship Id="rId7" Type="http://schemas.openxmlformats.org/officeDocument/2006/relationships/hyperlink" Target="https://scholar.google.com/citations?hl=en&amp;view_op=list_hcore&amp;venue=P7JmirE2spgJ.2020" TargetMode="External"/><Relationship Id="rId8" Type="http://schemas.openxmlformats.org/officeDocument/2006/relationships/hyperlink" Target="https://scholar.google.com/citations?hl=en&amp;view_op=list_hcore&amp;venue=yHxohuW00noJ.2020" TargetMode="External"/><Relationship Id="rId61" Type="http://schemas.openxmlformats.org/officeDocument/2006/relationships/drawing" Target="../drawings/drawing8.xml"/><Relationship Id="rId60" Type="http://schemas.openxmlformats.org/officeDocument/2006/relationships/hyperlink" Target="https://scholar.google.com/citations?hl=en&amp;view_op=list_hcore&amp;venue=pq9AC66DKAMJ.2020" TargetMode="External"/><Relationship Id="rId51" Type="http://schemas.openxmlformats.org/officeDocument/2006/relationships/hyperlink" Target="https://scholar.google.com/citations?hl=en&amp;view_op=list_hcore&amp;venue=a7sB4asTg0EJ.2020" TargetMode="External"/><Relationship Id="rId50" Type="http://schemas.openxmlformats.org/officeDocument/2006/relationships/hyperlink" Target="https://scholar.google.com/citations?hl=en&amp;view_op=list_hcore&amp;venue=ozuU4D3JRbUJ.2020" TargetMode="External"/><Relationship Id="rId53" Type="http://schemas.openxmlformats.org/officeDocument/2006/relationships/hyperlink" Target="https://scholar.google.com/citations?hl=en&amp;view_op=list_hcore&amp;venue=2ZThoUFv558J.2020" TargetMode="External"/><Relationship Id="rId52" Type="http://schemas.openxmlformats.org/officeDocument/2006/relationships/hyperlink" Target="https://scholar.google.com/citations?hl=en&amp;view_op=list_hcore&amp;venue=MHGPX0ifa6MJ.2020" TargetMode="External"/><Relationship Id="rId55" Type="http://schemas.openxmlformats.org/officeDocument/2006/relationships/hyperlink" Target="https://scholar.google.com/citations?hl=en&amp;view_op=list_hcore&amp;venue=gefgzKCl3_0J.2020" TargetMode="External"/><Relationship Id="rId54" Type="http://schemas.openxmlformats.org/officeDocument/2006/relationships/hyperlink" Target="https://scholar.google.com/citations?hl=en&amp;view_op=list_hcore&amp;venue=Tct1hCSnseoJ.2020" TargetMode="External"/><Relationship Id="rId57" Type="http://schemas.openxmlformats.org/officeDocument/2006/relationships/hyperlink" Target="https://scholar.google.com/citations?hl=en&amp;view_op=list_hcore&amp;venue=U0jXyBJv17EJ.2020" TargetMode="External"/><Relationship Id="rId56" Type="http://schemas.openxmlformats.org/officeDocument/2006/relationships/hyperlink" Target="https://scholar.google.com/citations?hl=en&amp;view_op=list_hcore&amp;venue=dQMJcSWIFtgJ.2020" TargetMode="External"/><Relationship Id="rId59" Type="http://schemas.openxmlformats.org/officeDocument/2006/relationships/hyperlink" Target="https://scholar.google.com/citations?hl=en&amp;view_op=list_hcore&amp;venue=CVpdLFbXIAIJ.2020" TargetMode="External"/><Relationship Id="rId58" Type="http://schemas.openxmlformats.org/officeDocument/2006/relationships/hyperlink" Target="https://scholar.google.com/citations?hl=en&amp;view_op=list_hcore&amp;venue=o5Mc40u6CcYJ.2020" TargetMode="External"/></Relationships>
</file>

<file path=xl/worksheets/_rels/sheet9.xml.rels><?xml version="1.0" encoding="UTF-8" standalone="yes"?><Relationships xmlns="http://schemas.openxmlformats.org/package/2006/relationships"><Relationship Id="rId40" Type="http://schemas.openxmlformats.org/officeDocument/2006/relationships/hyperlink" Target="https://scholar.google.es/citations?hl=en&amp;vq=eng_computersecuritycryptography&amp;view_op=list_hcore&amp;venue=Hh3XGFymILkJ.2024" TargetMode="External"/><Relationship Id="rId42" Type="http://schemas.openxmlformats.org/officeDocument/2006/relationships/hyperlink" Target="https://dblp.org/db/conf/raid/index.html" TargetMode="External"/><Relationship Id="rId41" Type="http://schemas.openxmlformats.org/officeDocument/2006/relationships/hyperlink" Target="https://scholar.google.com/citations?hl=en&amp;view_op=list_hcore&amp;venue=826ERjda8dUJ.2024" TargetMode="External"/><Relationship Id="rId44" Type="http://schemas.openxmlformats.org/officeDocument/2006/relationships/hyperlink" Target="https://dblp.org/db/conf/wisec/index.html" TargetMode="External"/><Relationship Id="rId43" Type="http://schemas.openxmlformats.org/officeDocument/2006/relationships/hyperlink" Target="https://scholar.google.com/citations?hl=en&amp;view_op=list_hcore&amp;venue=JDO_KUA4CYMJ.2024" TargetMode="External"/><Relationship Id="rId46" Type="http://schemas.openxmlformats.org/officeDocument/2006/relationships/hyperlink" Target="https://dblp.org/db/conf/host/index.html" TargetMode="External"/><Relationship Id="rId45" Type="http://schemas.openxmlformats.org/officeDocument/2006/relationships/hyperlink" Target="https://scholar.google.com/citations?hl=en&amp;view_op=list_hcore&amp;venue=_3T_r4GbfNcJ.2024" TargetMode="External"/><Relationship Id="rId48" Type="http://schemas.openxmlformats.org/officeDocument/2006/relationships/hyperlink" Target="https://dblp.org/db/conf/cns/index.html" TargetMode="External"/><Relationship Id="rId47" Type="http://schemas.openxmlformats.org/officeDocument/2006/relationships/hyperlink" Target="https://scholar.google.com/citations?hl=en&amp;view_op=list_hcore&amp;venue=nZuTYevUj1wJ.2024" TargetMode="External"/><Relationship Id="rId49" Type="http://schemas.openxmlformats.org/officeDocument/2006/relationships/hyperlink" Target="https://scholar.google.com/citations?hl=en&amp;view_op=list_hcore&amp;venue=LWRwHw7mGBMJ.2024" TargetMode="External"/><Relationship Id="rId31" Type="http://schemas.openxmlformats.org/officeDocument/2006/relationships/hyperlink" Target="https://scholar.google.com/citations?hl=en&amp;view_op=list_hcore&amp;venue=eMr22KXtlXcJ.2024" TargetMode="External"/><Relationship Id="rId30" Type="http://schemas.openxmlformats.org/officeDocument/2006/relationships/hyperlink" Target="https://dblp.org/db/conf/tcc/index.html" TargetMode="External"/><Relationship Id="rId33" Type="http://schemas.openxmlformats.org/officeDocument/2006/relationships/hyperlink" Target="https://scholar.google.com/citations?hl=en&amp;view_op=list_hcore&amp;venue=uX6tRrNG0lQJ.2024" TargetMode="External"/><Relationship Id="rId32" Type="http://schemas.openxmlformats.org/officeDocument/2006/relationships/hyperlink" Target="https://dblp.org/db/conf/trustcom/index.html" TargetMode="External"/><Relationship Id="rId35" Type="http://schemas.openxmlformats.org/officeDocument/2006/relationships/hyperlink" Target="https://scholar.google.es/scholar?hl=pt-BR&amp;as_sdt=0%2C5&amp;as_ylo=2020&amp;q=%22Privacy+Enhancing+Technologies+Symposium%22&amp;btnG=" TargetMode="External"/><Relationship Id="rId34" Type="http://schemas.openxmlformats.org/officeDocument/2006/relationships/hyperlink" Target="https://dblp.org/db/conf/acns/index.html" TargetMode="External"/><Relationship Id="rId37" Type="http://schemas.openxmlformats.org/officeDocument/2006/relationships/hyperlink" Target="https://scholar.google.com/citations?hl=en&amp;view_op=list_hcore&amp;venue=Dsyl66B8iM0J.2024" TargetMode="External"/><Relationship Id="rId36" Type="http://schemas.openxmlformats.org/officeDocument/2006/relationships/hyperlink" Target="https://dblp.org/db/journals/popets/index.html" TargetMode="External"/><Relationship Id="rId39" Type="http://schemas.openxmlformats.org/officeDocument/2006/relationships/hyperlink" Target="https://scholar.google.es/citations?hl=en&amp;view_op=list_hcore&amp;venue=DGN3r9u7HNQJ.2024" TargetMode="External"/><Relationship Id="rId38" Type="http://schemas.openxmlformats.org/officeDocument/2006/relationships/hyperlink" Target="https://sol.sbc.org.br/index.php/sbseg" TargetMode="External"/><Relationship Id="rId20" Type="http://schemas.openxmlformats.org/officeDocument/2006/relationships/hyperlink" Target="https://scholar.google.com/citations?hl=en&amp;view_op=list_hcore&amp;venue=d6VxAyLWqWgJ.2024" TargetMode="External"/><Relationship Id="rId22" Type="http://schemas.openxmlformats.org/officeDocument/2006/relationships/hyperlink" Target="https://scholar.google.com/citations?hl=en&amp;view_op=list_hcore&amp;venue=88oopSfS28MJ.2024" TargetMode="External"/><Relationship Id="rId21" Type="http://schemas.openxmlformats.org/officeDocument/2006/relationships/hyperlink" Target="https://dblp.org/db/conf/soups/index.html" TargetMode="External"/><Relationship Id="rId24" Type="http://schemas.openxmlformats.org/officeDocument/2006/relationships/hyperlink" Target="https://scholar.google.com/citations?hl=en&amp;view_op=list_hcore&amp;venue=6gqvYwOFvq0J.2024" TargetMode="External"/><Relationship Id="rId23" Type="http://schemas.openxmlformats.org/officeDocument/2006/relationships/hyperlink" Target="https://dblp.org/db/conf/acsac/index.html" TargetMode="External"/><Relationship Id="rId26" Type="http://schemas.openxmlformats.org/officeDocument/2006/relationships/hyperlink" Target="https://scholar.google.com/citations?hl=en&amp;view_op=list_hcore&amp;venue=GIrj2BSjfiwJ.2024" TargetMode="External"/><Relationship Id="rId25" Type="http://schemas.openxmlformats.org/officeDocument/2006/relationships/hyperlink" Target="https://dblp.org/db/conf/pkc/index.html" TargetMode="External"/><Relationship Id="rId28" Type="http://schemas.openxmlformats.org/officeDocument/2006/relationships/hyperlink" Target="https://dblp.org/db/conf/csfw/index.html" TargetMode="External"/><Relationship Id="rId27" Type="http://schemas.openxmlformats.org/officeDocument/2006/relationships/hyperlink" Target="https://dblp.org/db/conf/IEEEares/index.html" TargetMode="External"/><Relationship Id="rId29" Type="http://schemas.openxmlformats.org/officeDocument/2006/relationships/hyperlink" Target="https://scholar.google.com/citations?hl=en&amp;view_op=list_hcore&amp;venue=JP81m6yJpiEJ.2024" TargetMode="External"/><Relationship Id="rId11" Type="http://schemas.openxmlformats.org/officeDocument/2006/relationships/hyperlink" Target="https://scholar.google.com/citations?hl=en&amp;view_op=list_hcore&amp;venue=nqcB6RwzhMQJ.2024" TargetMode="External"/><Relationship Id="rId10" Type="http://schemas.openxmlformats.org/officeDocument/2006/relationships/hyperlink" Target="https://dblp.org/db/conf/eurocrypt/index.html" TargetMode="External"/><Relationship Id="rId13" Type="http://schemas.openxmlformats.org/officeDocument/2006/relationships/hyperlink" Target="https://scholar.google.com/citations?hl=en&amp;view_op=list_hcore&amp;venue=gVeDacK3aQwJ.2024" TargetMode="External"/><Relationship Id="rId12" Type="http://schemas.openxmlformats.org/officeDocument/2006/relationships/hyperlink" Target="https://dblp.org/db/conf/crypto/index.html" TargetMode="External"/><Relationship Id="rId15" Type="http://schemas.openxmlformats.org/officeDocument/2006/relationships/hyperlink" Target="https://scholar.google.com/citations?hl=en&amp;view_op=list_hcore&amp;venue=GoSvm-d8gKoJ.2024" TargetMode="External"/><Relationship Id="rId14" Type="http://schemas.openxmlformats.org/officeDocument/2006/relationships/hyperlink" Target="https://dblp.org/db/conf/fc/index.html" TargetMode="External"/><Relationship Id="rId17" Type="http://schemas.openxmlformats.org/officeDocument/2006/relationships/hyperlink" Target="https://dblp.org/db/conf/asiacrypt/index.html" TargetMode="External"/><Relationship Id="rId16" Type="http://schemas.openxmlformats.org/officeDocument/2006/relationships/hyperlink" Target="https://scholar.google.com/citations?hl=en&amp;view_op=list_hcore&amp;venue=hxrvQsnJSDMJ.2024" TargetMode="External"/><Relationship Id="rId19" Type="http://schemas.openxmlformats.org/officeDocument/2006/relationships/hyperlink" Target="https://dblp.org/db/conf/asiaccs/index.html" TargetMode="External"/><Relationship Id="rId18" Type="http://schemas.openxmlformats.org/officeDocument/2006/relationships/hyperlink" Target="https://scholar.google.com/citations?hl=en&amp;view_op=list_hcore&amp;venue=3VLtGPwkq54J.2024" TargetMode="External"/><Relationship Id="rId84" Type="http://schemas.openxmlformats.org/officeDocument/2006/relationships/hyperlink" Target="https://dblp.org/db/conf/issa/index.html" TargetMode="External"/><Relationship Id="rId83" Type="http://schemas.openxmlformats.org/officeDocument/2006/relationships/hyperlink" Target="https://dblp.org/db/conf/icisc/index.html" TargetMode="External"/><Relationship Id="rId86" Type="http://schemas.openxmlformats.org/officeDocument/2006/relationships/hyperlink" Target="https://scholar.google.com/citations?hl=en&amp;view_op=list_hcore&amp;venue=xSWUNlszhlkJ.2024" TargetMode="External"/><Relationship Id="rId85" Type="http://schemas.openxmlformats.org/officeDocument/2006/relationships/hyperlink" Target="https://scholar.google.com/citations?hl=en&amp;view_op=list_hcore&amp;venue=G0FddLwZFDcJ.2024" TargetMode="External"/><Relationship Id="rId88" Type="http://schemas.openxmlformats.org/officeDocument/2006/relationships/hyperlink" Target="https://scholar.google.com/scholar?hl=pt-BR&amp;as_sdt=0%2C5&amp;as_ylo=2020&amp;q=IFIP+International+Conference+on+Digital+Forensics&amp;btnG=" TargetMode="External"/><Relationship Id="rId87" Type="http://schemas.openxmlformats.org/officeDocument/2006/relationships/hyperlink" Target="https://dblp.org/db/conf/secrypt/index.html" TargetMode="External"/><Relationship Id="rId89" Type="http://schemas.openxmlformats.org/officeDocument/2006/relationships/hyperlink" Target="https://dblp.org/db/conf/ifip11-9/index.html" TargetMode="External"/><Relationship Id="rId80" Type="http://schemas.openxmlformats.org/officeDocument/2006/relationships/hyperlink" Target="https://dblp.org/db/conf/wpes/index.html" TargetMode="External"/><Relationship Id="rId82" Type="http://schemas.openxmlformats.org/officeDocument/2006/relationships/hyperlink" Target="https://scholar.google.com/citations?hl=en&amp;view_op=list_hcore&amp;venue=MSHaZsrVGwsJ.2024" TargetMode="External"/><Relationship Id="rId81" Type="http://schemas.openxmlformats.org/officeDocument/2006/relationships/hyperlink" Target="https://dblp.org/db/conf/latincrypt/index.html" TargetMode="External"/><Relationship Id="rId1" Type="http://schemas.openxmlformats.org/officeDocument/2006/relationships/hyperlink" Target="https://scholar.google.com/citations?hl=en&amp;view_op=list_hcore&amp;venue=cyrroHz3a0YJ.2024" TargetMode="External"/><Relationship Id="rId2" Type="http://schemas.openxmlformats.org/officeDocument/2006/relationships/hyperlink" Target="https://dblp.org/db/conf/sp/index.html" TargetMode="External"/><Relationship Id="rId3" Type="http://schemas.openxmlformats.org/officeDocument/2006/relationships/hyperlink" Target="https://scholar.google.com/citations?hl=en&amp;view_op=list_hcore&amp;venue=HSHJIaLyN9IJ.2024" TargetMode="External"/><Relationship Id="rId4" Type="http://schemas.openxmlformats.org/officeDocument/2006/relationships/hyperlink" Target="https://dblp.org/db/conf/uss/index.html" TargetMode="External"/><Relationship Id="rId9" Type="http://schemas.openxmlformats.org/officeDocument/2006/relationships/hyperlink" Target="https://scholar.google.com/citations?hl=en&amp;view_op=list_hcore&amp;venue=fsZsNTm7Eh8J.2024" TargetMode="External"/><Relationship Id="rId5" Type="http://schemas.openxmlformats.org/officeDocument/2006/relationships/hyperlink" Target="https://scholar.google.com/citations?hl=en&amp;view_op=list_hcore&amp;venue=Pg42P_rbavwJ.2024" TargetMode="External"/><Relationship Id="rId6" Type="http://schemas.openxmlformats.org/officeDocument/2006/relationships/hyperlink" Target="https://dblp.org/db/conf/ccs/index.html" TargetMode="External"/><Relationship Id="rId7" Type="http://schemas.openxmlformats.org/officeDocument/2006/relationships/hyperlink" Target="https://scholar.google.com/citations?hl=en&amp;view_op=list_hcore&amp;venue=q2FcImd5qbgJ.2024" TargetMode="External"/><Relationship Id="rId8" Type="http://schemas.openxmlformats.org/officeDocument/2006/relationships/hyperlink" Target="https://dblp.org/db/conf/ndss/index.html" TargetMode="External"/><Relationship Id="rId73" Type="http://schemas.openxmlformats.org/officeDocument/2006/relationships/hyperlink" Target="https://scholar.google.com/citations?hl=en&amp;view_op=list_hcore&amp;venue=t9ttKFRoPtkJ.2024" TargetMode="External"/><Relationship Id="rId72" Type="http://schemas.openxmlformats.org/officeDocument/2006/relationships/hyperlink" Target="https://dblp.org/db/conf/pst/index.html" TargetMode="External"/><Relationship Id="rId75" Type="http://schemas.openxmlformats.org/officeDocument/2006/relationships/hyperlink" Target="https://scholar.google.com/citations?hl=en&amp;view_op=list_hcore&amp;venue=mDgNlZgOboEJ.2024" TargetMode="External"/><Relationship Id="rId74" Type="http://schemas.openxmlformats.org/officeDocument/2006/relationships/hyperlink" Target="https://dblp.org/db/conf/dbsec/index.html" TargetMode="External"/><Relationship Id="rId77" Type="http://schemas.openxmlformats.org/officeDocument/2006/relationships/hyperlink" Target="https://dblp.org/db/conf/ches/index.html" TargetMode="External"/><Relationship Id="rId76" Type="http://schemas.openxmlformats.org/officeDocument/2006/relationships/hyperlink" Target="https://dblp.org/db/conf/nss/index.html" TargetMode="External"/><Relationship Id="rId79" Type="http://schemas.openxmlformats.org/officeDocument/2006/relationships/hyperlink" Target="https://dblp.org/db/conf/isw/index.html" TargetMode="External"/><Relationship Id="rId78" Type="http://schemas.openxmlformats.org/officeDocument/2006/relationships/hyperlink" Target="https://scholar.google.com/citations?hl=en&amp;view_op=list_hcore&amp;venue=Vnq3DIsft2YJ.2024" TargetMode="External"/><Relationship Id="rId71" Type="http://schemas.openxmlformats.org/officeDocument/2006/relationships/hyperlink" Target="https://scholar.google.com/citations?hl=en&amp;view_op=list_hcore&amp;venue=xoT0NbWIf-kJ.2024" TargetMode="External"/><Relationship Id="rId70" Type="http://schemas.openxmlformats.org/officeDocument/2006/relationships/hyperlink" Target="https://dblp.org/db/conf/icics/index.html" TargetMode="External"/><Relationship Id="rId62" Type="http://schemas.openxmlformats.org/officeDocument/2006/relationships/hyperlink" Target="https://dblp.org/db/conf/cans/index.html" TargetMode="External"/><Relationship Id="rId61" Type="http://schemas.openxmlformats.org/officeDocument/2006/relationships/hyperlink" Target="https://scholar.google.com/citations?hl=en&amp;view_op=list_hcore&amp;venue=q7kWOn3QmqYJ.2024" TargetMode="External"/><Relationship Id="rId64" Type="http://schemas.openxmlformats.org/officeDocument/2006/relationships/hyperlink" Target="https://dblp.org/db/conf/indocrypt/index.html" TargetMode="External"/><Relationship Id="rId63" Type="http://schemas.openxmlformats.org/officeDocument/2006/relationships/hyperlink" Target="https://scholar.google.com/citations?hl=en&amp;view_op=list_hcore&amp;venue=NQGo0SktmDsJ.2024" TargetMode="External"/><Relationship Id="rId66" Type="http://schemas.openxmlformats.org/officeDocument/2006/relationships/hyperlink" Target="https://dblp.org/db/conf/acisp/index.html" TargetMode="External"/><Relationship Id="rId65" Type="http://schemas.openxmlformats.org/officeDocument/2006/relationships/hyperlink" Target="https://scholar.google.com/citations?hl=en&amp;view_op=list_hcore&amp;venue=o0S2wIvNbXEJ.2024" TargetMode="External"/><Relationship Id="rId68" Type="http://schemas.openxmlformats.org/officeDocument/2006/relationships/hyperlink" Target="https://dblp.org/db/conf/sacmat/index.html" TargetMode="External"/><Relationship Id="rId67" Type="http://schemas.openxmlformats.org/officeDocument/2006/relationships/hyperlink" Target="https://scholar.google.com/citations?hl=en&amp;view_op=list_hcore&amp;venue=9DZYftdOCUAJ.2024" TargetMode="External"/><Relationship Id="rId60" Type="http://schemas.openxmlformats.org/officeDocument/2006/relationships/hyperlink" Target="https://dblp.org/db/conf/sec/index.html" TargetMode="External"/><Relationship Id="rId69" Type="http://schemas.openxmlformats.org/officeDocument/2006/relationships/hyperlink" Target="https://scholar.google.com/citations?hl=en&amp;view_op=list_hcore&amp;venue=PlU5605zcRkJ.2024" TargetMode="External"/><Relationship Id="rId51" Type="http://schemas.openxmlformats.org/officeDocument/2006/relationships/hyperlink" Target="https://scholar.google.com/citations?hl=en&amp;view_op=list_hcore&amp;venue=8C-rTF6UiesJ.2024" TargetMode="External"/><Relationship Id="rId50" Type="http://schemas.openxmlformats.org/officeDocument/2006/relationships/hyperlink" Target="https://dblp.org/db/conf/codaspy/index.html" TargetMode="External"/><Relationship Id="rId53" Type="http://schemas.openxmlformats.org/officeDocument/2006/relationships/hyperlink" Target="https://scholar.google.com/citations?hl=en&amp;view_op=list_hcore&amp;venue=mvVvdS_cvHIJ.2024" TargetMode="External"/><Relationship Id="rId52" Type="http://schemas.openxmlformats.org/officeDocument/2006/relationships/hyperlink" Target="https://dblp.org/db/conf/sacrypt/index.html" TargetMode="External"/><Relationship Id="rId55" Type="http://schemas.openxmlformats.org/officeDocument/2006/relationships/hyperlink" Target="https://scholar.google.com/citations?hl=en&amp;view_op=list_hcore&amp;venue=fWfpTei59DsJ.2024" TargetMode="External"/><Relationship Id="rId54" Type="http://schemas.openxmlformats.org/officeDocument/2006/relationships/hyperlink" Target="https://dblp.org/db/conf/wifs/index.html" TargetMode="External"/><Relationship Id="rId57" Type="http://schemas.openxmlformats.org/officeDocument/2006/relationships/hyperlink" Target="https://scholar.google.com/citations?hl=en&amp;view_op=list_hcore&amp;venue=BJDMFlAVW-cJ.2024" TargetMode="External"/><Relationship Id="rId56" Type="http://schemas.openxmlformats.org/officeDocument/2006/relationships/hyperlink" Target="https://dblp.org/db/conf/safecomp/index.html" TargetMode="External"/><Relationship Id="rId59" Type="http://schemas.openxmlformats.org/officeDocument/2006/relationships/hyperlink" Target="https://scholar.google.com/citations?hl=en&amp;view_op=list_hcore&amp;venue=pMNODcGxo4cJ.2024" TargetMode="External"/><Relationship Id="rId58" Type="http://schemas.openxmlformats.org/officeDocument/2006/relationships/hyperlink" Target="https://dblp.org/db/conf/ntms/index.html" TargetMode="External"/><Relationship Id="rId95" Type="http://schemas.openxmlformats.org/officeDocument/2006/relationships/hyperlink" Target="https://dblp.org/db/conf/iciss/index.html" TargetMode="External"/><Relationship Id="rId94" Type="http://schemas.openxmlformats.org/officeDocument/2006/relationships/hyperlink" Target="https://dblp.org/db/conf/sscc/index.html" TargetMode="External"/><Relationship Id="rId97" Type="http://schemas.openxmlformats.org/officeDocument/2006/relationships/drawing" Target="../drawings/drawing9.xml"/><Relationship Id="rId96" Type="http://schemas.openxmlformats.org/officeDocument/2006/relationships/hyperlink" Target="https://dblp.org/db/conf/iih-msp/index.html" TargetMode="External"/><Relationship Id="rId91" Type="http://schemas.openxmlformats.org/officeDocument/2006/relationships/hyperlink" Target="https://dblp.org/db/conf/srds/index.html" TargetMode="External"/><Relationship Id="rId90" Type="http://schemas.openxmlformats.org/officeDocument/2006/relationships/hyperlink" Target="https://scholar.google.es/scholar?hl=pt-BR&amp;as_sdt=0%2C5&amp;as_ylo=2020&amp;q=%22IEEE+Symposium+on+Reliable+Distributed+Systems%22&amp;btnG=" TargetMode="External"/><Relationship Id="rId93" Type="http://schemas.openxmlformats.org/officeDocument/2006/relationships/hyperlink" Target="https://scholar.google.com/citations?hl=en&amp;view_op=list_hcore&amp;venue=pGU5_1oxcy0J.2023" TargetMode="External"/><Relationship Id="rId92" Type="http://schemas.openxmlformats.org/officeDocument/2006/relationships/hyperlink" Target="https://dblp.org/db/conf/fse/index.html"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4" max="4" width="15.25"/>
    <col customWidth="1" min="6" max="6" width="22.13"/>
    <col customWidth="1" min="8" max="8" width="27.38"/>
    <col customWidth="1" min="9" max="9" width="28.38"/>
    <col customWidth="1" min="10" max="10" width="34.5"/>
    <col customWidth="1" min="11" max="11" width="27.88"/>
  </cols>
  <sheetData>
    <row r="1">
      <c r="A1" s="1"/>
      <c r="B1" s="2"/>
      <c r="C1" s="2"/>
      <c r="D1" s="2"/>
      <c r="E1" s="2"/>
      <c r="F1" s="2"/>
      <c r="G1" s="2"/>
      <c r="H1" s="2"/>
      <c r="I1" s="2"/>
      <c r="J1" s="2"/>
      <c r="K1" s="2"/>
      <c r="L1" s="2"/>
      <c r="M1" s="2"/>
      <c r="N1" s="2"/>
      <c r="O1" s="2"/>
      <c r="P1" s="2"/>
      <c r="Q1" s="2"/>
      <c r="R1" s="2"/>
      <c r="S1" s="2"/>
      <c r="T1" s="2"/>
      <c r="U1" s="2"/>
      <c r="V1" s="2"/>
      <c r="W1" s="2"/>
      <c r="X1" s="2"/>
      <c r="Y1" s="2"/>
      <c r="Z1" s="2"/>
    </row>
    <row r="2">
      <c r="A2" s="3" t="s">
        <v>0</v>
      </c>
      <c r="B2" s="2"/>
      <c r="C2" s="2"/>
      <c r="D2" s="2"/>
      <c r="E2" s="2"/>
      <c r="F2" s="2"/>
      <c r="G2" s="2"/>
      <c r="H2" s="2"/>
      <c r="I2" s="2"/>
      <c r="J2" s="2"/>
      <c r="K2" s="2"/>
      <c r="L2" s="2"/>
      <c r="M2" s="2"/>
      <c r="N2" s="2"/>
      <c r="O2" s="2"/>
      <c r="P2" s="2"/>
      <c r="Q2" s="2"/>
      <c r="R2" s="2"/>
      <c r="S2" s="2"/>
      <c r="T2" s="2"/>
      <c r="U2" s="2"/>
      <c r="V2" s="2"/>
      <c r="W2" s="2"/>
      <c r="X2" s="2"/>
      <c r="Y2" s="2"/>
      <c r="Z2" s="2"/>
    </row>
    <row r="3">
      <c r="A3" s="4"/>
      <c r="B3" s="4"/>
      <c r="C3" s="4"/>
      <c r="D3" s="4"/>
      <c r="E3" s="4"/>
      <c r="F3" s="5"/>
      <c r="G3" s="5"/>
      <c r="H3" s="5"/>
      <c r="I3" s="5"/>
      <c r="J3" s="5"/>
      <c r="K3" s="5"/>
      <c r="L3" s="5"/>
      <c r="M3" s="5"/>
      <c r="N3" s="5"/>
      <c r="O3" s="5"/>
      <c r="P3" s="5"/>
    </row>
    <row r="4">
      <c r="A4" s="4" t="s">
        <v>1</v>
      </c>
      <c r="B4" s="4"/>
      <c r="C4" s="4"/>
      <c r="D4" s="4"/>
      <c r="E4" s="4"/>
      <c r="F4" s="5"/>
      <c r="G4" s="5"/>
      <c r="H4" s="5"/>
      <c r="I4" s="5"/>
      <c r="J4" s="5"/>
      <c r="K4" s="5"/>
      <c r="L4" s="5"/>
      <c r="M4" s="5"/>
      <c r="N4" s="5"/>
      <c r="O4" s="5"/>
      <c r="P4" s="5"/>
    </row>
    <row r="5">
      <c r="A5" s="4"/>
      <c r="F5" s="5"/>
      <c r="G5" s="5"/>
      <c r="H5" s="5"/>
      <c r="I5" s="5"/>
      <c r="J5" s="5"/>
      <c r="K5" s="5"/>
      <c r="L5" s="5"/>
      <c r="M5" s="5"/>
      <c r="N5" s="5"/>
      <c r="O5" s="5"/>
      <c r="P5" s="5"/>
    </row>
    <row r="6">
      <c r="A6" s="4"/>
      <c r="B6" s="5"/>
      <c r="C6" s="5"/>
      <c r="D6" s="4"/>
      <c r="E6" s="5"/>
      <c r="F6" s="5"/>
      <c r="G6" s="5"/>
      <c r="H6" s="5"/>
      <c r="I6" s="5"/>
      <c r="J6" s="5"/>
      <c r="K6" s="5"/>
      <c r="L6" s="5"/>
      <c r="M6" s="5"/>
      <c r="N6" s="5"/>
      <c r="O6" s="5"/>
      <c r="P6" s="5"/>
    </row>
    <row r="7">
      <c r="A7" s="4" t="s">
        <v>2</v>
      </c>
      <c r="B7" s="4"/>
      <c r="C7" s="4"/>
      <c r="D7" s="4"/>
      <c r="E7" s="4"/>
      <c r="F7" s="4"/>
      <c r="G7" s="5"/>
      <c r="H7" s="5"/>
      <c r="I7" s="5"/>
      <c r="J7" s="5"/>
      <c r="K7" s="5"/>
      <c r="L7" s="5"/>
      <c r="M7" s="5"/>
      <c r="N7" s="5"/>
      <c r="O7" s="5"/>
      <c r="P7" s="5"/>
    </row>
    <row r="8">
      <c r="A8" s="4" t="s">
        <v>3</v>
      </c>
      <c r="B8" s="4"/>
      <c r="C8" s="4"/>
      <c r="D8" s="5"/>
      <c r="E8" s="5"/>
      <c r="F8" s="5"/>
      <c r="G8" s="5"/>
      <c r="H8" s="5"/>
      <c r="I8" s="5"/>
      <c r="J8" s="5"/>
      <c r="K8" s="5"/>
      <c r="L8" s="5"/>
      <c r="M8" s="5"/>
      <c r="N8" s="5"/>
      <c r="O8" s="5"/>
      <c r="P8" s="5"/>
    </row>
    <row r="9">
      <c r="A9" s="4" t="s">
        <v>4</v>
      </c>
      <c r="B9" s="5"/>
      <c r="C9" s="5"/>
      <c r="D9" s="5"/>
      <c r="E9" s="5"/>
      <c r="F9" s="5"/>
      <c r="G9" s="5"/>
      <c r="H9" s="5"/>
      <c r="I9" s="5"/>
      <c r="J9" s="5"/>
      <c r="K9" s="5"/>
      <c r="L9" s="5"/>
      <c r="M9" s="5"/>
      <c r="N9" s="5"/>
      <c r="O9" s="5"/>
      <c r="P9" s="5"/>
    </row>
    <row r="10">
      <c r="A10" s="5"/>
      <c r="B10" s="5"/>
      <c r="C10" s="5"/>
      <c r="D10" s="5"/>
      <c r="E10" s="5"/>
      <c r="F10" s="5"/>
      <c r="G10" s="5"/>
      <c r="H10" s="5"/>
      <c r="I10" s="5"/>
      <c r="J10" s="5"/>
      <c r="K10" s="5"/>
      <c r="L10" s="5"/>
      <c r="M10" s="5"/>
      <c r="N10" s="5"/>
      <c r="O10" s="5"/>
      <c r="P10" s="5"/>
    </row>
    <row r="11">
      <c r="A11" s="4" t="s">
        <v>5</v>
      </c>
      <c r="B11" s="4"/>
      <c r="C11" s="4"/>
      <c r="D11" s="6" t="s">
        <v>6</v>
      </c>
      <c r="E11" s="4"/>
      <c r="F11" s="4"/>
      <c r="G11" s="4"/>
      <c r="H11" s="4"/>
      <c r="I11" s="4"/>
      <c r="J11" s="4"/>
      <c r="K11" s="4"/>
      <c r="L11" s="5"/>
      <c r="M11" s="5"/>
      <c r="N11" s="5"/>
      <c r="O11" s="5"/>
      <c r="P11" s="5"/>
    </row>
    <row r="12">
      <c r="A12" s="5"/>
      <c r="B12" s="5"/>
      <c r="C12" s="5"/>
      <c r="D12" s="5"/>
      <c r="E12" s="5"/>
      <c r="F12" s="5"/>
      <c r="G12" s="5"/>
      <c r="H12" s="5"/>
      <c r="I12" s="5"/>
      <c r="J12" s="5"/>
      <c r="K12" s="5"/>
      <c r="L12" s="5"/>
      <c r="M12" s="5"/>
      <c r="N12" s="5"/>
      <c r="O12" s="5"/>
      <c r="P12" s="5"/>
    </row>
    <row r="13">
      <c r="A13" s="4" t="s">
        <v>7</v>
      </c>
      <c r="K13" s="5"/>
      <c r="L13" s="5"/>
      <c r="M13" s="5"/>
      <c r="N13" s="5"/>
      <c r="O13" s="5"/>
      <c r="P13" s="5"/>
    </row>
    <row r="14">
      <c r="A14" s="5"/>
      <c r="B14" s="5"/>
      <c r="C14" s="5"/>
      <c r="D14" s="5"/>
      <c r="E14" s="5"/>
      <c r="F14" s="5"/>
      <c r="G14" s="5"/>
      <c r="H14" s="5"/>
      <c r="I14" s="5"/>
      <c r="J14" s="5"/>
      <c r="K14" s="5"/>
      <c r="L14" s="5"/>
      <c r="M14" s="5"/>
      <c r="N14" s="5"/>
      <c r="O14" s="5"/>
      <c r="P14" s="5"/>
    </row>
    <row r="15">
      <c r="A15" s="4" t="s">
        <v>8</v>
      </c>
      <c r="E15" s="5"/>
      <c r="F15" s="5"/>
      <c r="G15" s="5"/>
      <c r="H15" s="5"/>
      <c r="I15" s="5"/>
      <c r="J15" s="5"/>
      <c r="K15" s="5"/>
      <c r="L15" s="5"/>
      <c r="M15" s="5"/>
      <c r="N15" s="5"/>
      <c r="O15" s="5"/>
      <c r="P15" s="5"/>
    </row>
    <row r="16">
      <c r="A16" s="4" t="s">
        <v>9</v>
      </c>
      <c r="B16" s="4"/>
      <c r="C16" s="5"/>
      <c r="D16" s="5"/>
      <c r="E16" s="5"/>
      <c r="F16" s="5"/>
      <c r="G16" s="5"/>
      <c r="H16" s="5"/>
      <c r="I16" s="5"/>
      <c r="J16" s="5"/>
      <c r="K16" s="5"/>
      <c r="L16" s="5"/>
      <c r="M16" s="5"/>
      <c r="N16" s="5"/>
      <c r="O16" s="5"/>
      <c r="P16" s="5"/>
    </row>
    <row r="17">
      <c r="A17" s="5"/>
      <c r="B17" s="4" t="s">
        <v>10</v>
      </c>
      <c r="C17" s="5"/>
      <c r="D17" s="5"/>
      <c r="E17" s="5"/>
      <c r="F17" s="5"/>
      <c r="G17" s="5"/>
      <c r="H17" s="5"/>
      <c r="I17" s="5"/>
      <c r="J17" s="5"/>
      <c r="K17" s="5"/>
      <c r="L17" s="5"/>
      <c r="M17" s="5"/>
      <c r="N17" s="5"/>
      <c r="O17" s="5"/>
      <c r="P17" s="5"/>
    </row>
    <row r="18">
      <c r="A18" s="5"/>
      <c r="B18" s="5"/>
      <c r="C18" s="5"/>
      <c r="D18" s="5"/>
      <c r="E18" s="5"/>
      <c r="F18" s="5"/>
      <c r="G18" s="5"/>
      <c r="H18" s="5"/>
      <c r="I18" s="5"/>
      <c r="J18" s="5"/>
      <c r="K18" s="5"/>
      <c r="L18" s="5"/>
      <c r="M18" s="5"/>
      <c r="N18" s="5"/>
      <c r="O18" s="5"/>
      <c r="P18" s="5"/>
    </row>
    <row r="19">
      <c r="A19" s="5"/>
      <c r="B19" s="7" t="s">
        <v>11</v>
      </c>
      <c r="C19" s="8" t="s">
        <v>12</v>
      </c>
      <c r="D19" s="9" t="s">
        <v>13</v>
      </c>
      <c r="E19" s="9" t="s">
        <v>14</v>
      </c>
      <c r="F19" s="9" t="s">
        <v>15</v>
      </c>
      <c r="G19" s="7" t="s">
        <v>16</v>
      </c>
      <c r="H19" s="7" t="s">
        <v>17</v>
      </c>
      <c r="I19" s="7" t="s">
        <v>18</v>
      </c>
      <c r="J19" s="10" t="s">
        <v>19</v>
      </c>
      <c r="K19" s="11" t="s">
        <v>20</v>
      </c>
      <c r="L19" s="9" t="s">
        <v>21</v>
      </c>
      <c r="M19" s="5"/>
      <c r="N19" s="5"/>
      <c r="O19" s="5"/>
      <c r="P19" s="5"/>
    </row>
    <row r="20">
      <c r="A20" s="5"/>
      <c r="B20" s="12" t="s">
        <v>22</v>
      </c>
      <c r="C20" s="13" t="s">
        <v>23</v>
      </c>
      <c r="D20" s="14" t="s">
        <v>24</v>
      </c>
      <c r="E20" s="15">
        <v>10.0</v>
      </c>
      <c r="F20" s="16" t="s">
        <v>25</v>
      </c>
      <c r="G20" s="17"/>
      <c r="H20" s="17"/>
      <c r="I20" s="18" t="s">
        <v>26</v>
      </c>
      <c r="J20" s="19" t="s">
        <v>27</v>
      </c>
      <c r="K20" s="20" t="s">
        <v>28</v>
      </c>
      <c r="L20" s="21"/>
      <c r="M20" s="22"/>
      <c r="N20" s="22"/>
      <c r="O20" s="22"/>
      <c r="P20" s="22"/>
    </row>
    <row r="21">
      <c r="A21" s="5"/>
      <c r="B21" s="23" t="s">
        <v>22</v>
      </c>
      <c r="C21" s="13" t="s">
        <v>29</v>
      </c>
      <c r="D21" s="14" t="s">
        <v>30</v>
      </c>
      <c r="E21" s="15">
        <v>60.0</v>
      </c>
      <c r="F21" s="16" t="s">
        <v>31</v>
      </c>
      <c r="G21" s="12" t="s">
        <v>32</v>
      </c>
      <c r="H21" s="18" t="s">
        <v>33</v>
      </c>
      <c r="I21" s="17"/>
      <c r="J21" s="19" t="s">
        <v>34</v>
      </c>
      <c r="K21" s="24"/>
      <c r="L21" s="21"/>
      <c r="M21" s="5"/>
      <c r="N21" s="5"/>
      <c r="O21" s="5"/>
      <c r="P21" s="5"/>
    </row>
    <row r="22">
      <c r="A22" s="5"/>
      <c r="B22" s="23" t="s">
        <v>35</v>
      </c>
      <c r="C22" s="25" t="s">
        <v>36</v>
      </c>
      <c r="D22" s="26" t="s">
        <v>37</v>
      </c>
      <c r="E22" s="27">
        <v>30.0</v>
      </c>
      <c r="F22" s="28" t="s">
        <v>38</v>
      </c>
      <c r="G22" s="23" t="s">
        <v>39</v>
      </c>
      <c r="H22" s="29" t="s">
        <v>40</v>
      </c>
      <c r="I22" s="24"/>
      <c r="J22" s="20" t="s">
        <v>41</v>
      </c>
      <c r="K22" s="24"/>
      <c r="L22" s="30"/>
      <c r="M22" s="5"/>
      <c r="N22" s="5"/>
      <c r="O22" s="5"/>
      <c r="P22" s="5"/>
    </row>
    <row r="23">
      <c r="A23" s="4"/>
      <c r="B23" s="4"/>
      <c r="C23" s="4"/>
      <c r="D23" s="4"/>
      <c r="E23" s="4"/>
      <c r="F23" s="5"/>
      <c r="G23" s="5"/>
      <c r="H23" s="5"/>
      <c r="I23" s="5"/>
      <c r="J23" s="5"/>
      <c r="K23" s="5"/>
      <c r="L23" s="5"/>
      <c r="M23" s="5"/>
      <c r="N23" s="5"/>
      <c r="O23" s="5"/>
      <c r="P23" s="5"/>
    </row>
    <row r="24">
      <c r="A24" s="4" t="s">
        <v>42</v>
      </c>
      <c r="F24" s="5"/>
      <c r="G24" s="5"/>
      <c r="H24" s="5"/>
      <c r="I24" s="5"/>
      <c r="J24" s="5"/>
      <c r="K24" s="5"/>
      <c r="L24" s="5"/>
      <c r="M24" s="5"/>
      <c r="N24" s="5"/>
      <c r="O24" s="5"/>
      <c r="P24" s="5"/>
    </row>
    <row r="25">
      <c r="A25" s="5"/>
      <c r="B25" s="5"/>
      <c r="C25" s="5"/>
      <c r="D25" s="5"/>
      <c r="E25" s="5"/>
      <c r="F25" s="5"/>
      <c r="G25" s="5"/>
      <c r="H25" s="5"/>
      <c r="I25" s="5"/>
      <c r="J25" s="5"/>
      <c r="K25" s="5"/>
      <c r="L25" s="5"/>
      <c r="M25" s="5"/>
      <c r="N25" s="5"/>
      <c r="O25" s="5"/>
      <c r="P25" s="5"/>
    </row>
    <row r="26">
      <c r="A26" s="31" t="s">
        <v>43</v>
      </c>
      <c r="G26" s="6" t="s">
        <v>44</v>
      </c>
      <c r="I26" s="5"/>
      <c r="J26" s="5"/>
      <c r="K26" s="5"/>
      <c r="L26" s="5"/>
      <c r="M26" s="5"/>
      <c r="N26" s="5"/>
      <c r="O26" s="5"/>
      <c r="P26" s="5"/>
    </row>
    <row r="28">
      <c r="A28" s="32" t="s">
        <v>45</v>
      </c>
    </row>
    <row r="29">
      <c r="A29" s="32" t="s">
        <v>46</v>
      </c>
      <c r="E29" s="33"/>
      <c r="F29" s="33"/>
      <c r="G29" s="33"/>
      <c r="H29" s="33"/>
    </row>
    <row r="31">
      <c r="B31" s="34" t="s">
        <v>47</v>
      </c>
    </row>
  </sheetData>
  <mergeCells count="7">
    <mergeCell ref="A5:E5"/>
    <mergeCell ref="A13:J13"/>
    <mergeCell ref="A15:D15"/>
    <mergeCell ref="A24:E24"/>
    <mergeCell ref="A28:H28"/>
    <mergeCell ref="A29:D29"/>
    <mergeCell ref="B31:G43"/>
  </mergeCells>
  <hyperlinks>
    <hyperlink r:id="rId1" ref="D11"/>
    <hyperlink r:id="rId2" ref="F20"/>
    <hyperlink r:id="rId3" ref="J20"/>
    <hyperlink r:id="rId4" ref="K20"/>
    <hyperlink r:id="rId5" ref="F21"/>
    <hyperlink r:id="rId6" ref="J21"/>
    <hyperlink r:id="rId7" ref="F22"/>
    <hyperlink r:id="rId8" ref="J22"/>
    <hyperlink r:id="rId9" ref="G26"/>
  </hyperlinks>
  <drawing r:id="rId10"/>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2" max="2" width="13.13"/>
    <col customWidth="1" min="3" max="3" width="60.38"/>
    <col customWidth="1" min="4" max="4" width="6.13"/>
    <col customWidth="1" min="5" max="5" width="72.75"/>
    <col customWidth="1" min="7" max="7" width="23.88"/>
    <col customWidth="1" min="8" max="8" width="26.63"/>
    <col customWidth="1" min="9" max="10" width="28.88"/>
  </cols>
  <sheetData>
    <row r="1">
      <c r="A1" s="1" t="str">
        <f>IFERROR(__xludf.DUMMYFUNCTION("importrange(""https://docs.google.com/spreadsheets/d/1CKHwtzxKK8XLIOHlBivIBv4qjSm_FJnzGzDp1L6P3TM/edit#gid=469718963"",""CE-TF!A1:J150"")"),"TOP")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58" t="str">
        <f>IFERROR(__xludf.DUMMYFUNCTION("""COMPUTED_VALUE"""),"Top 10")</f>
        <v>Top 10</v>
      </c>
      <c r="B2" t="str">
        <f>IFERROR(__xludf.DUMMYFUNCTION("""COMPUTED_VALUE"""),"DISC")</f>
        <v>DISC</v>
      </c>
      <c r="C2" t="str">
        <f>IFERROR(__xludf.DUMMYFUNCTION("""COMPUTED_VALUE"""),"International Symposium on DIStributed Computing")</f>
        <v>International Symposium on DIStributed Computing</v>
      </c>
      <c r="D2">
        <f>IFERROR(__xludf.DUMMYFUNCTION("""COMPUTED_VALUE"""),22.0)</f>
        <v>22</v>
      </c>
      <c r="E2" s="59" t="str">
        <f>IFERROR(__xludf.DUMMYFUNCTION("""COMPUTED_VALUE"""),"https://scholar.google.com.br/citations?hl=en&amp;view_op=list_hcore&amp;venue=I09_2V3FJhwJ.2024")</f>
        <v>https://scholar.google.com.br/citations?hl=en&amp;view_op=list_hcore&amp;venue=I09_2V3FJhwJ.2024</v>
      </c>
      <c r="I2" s="60" t="str">
        <f>IFERROR(__xludf.DUMMYFUNCTION("""COMPUTED_VALUE"""),"https://dblp.org/db/conf/wdag/index.html")</f>
        <v>https://dblp.org/db/conf/wdag/index.html</v>
      </c>
    </row>
    <row r="3">
      <c r="A3" s="58" t="str">
        <f>IFERROR(__xludf.DUMMYFUNCTION("""COMPUTED_VALUE"""),"Top 10")</f>
        <v>Top 10</v>
      </c>
      <c r="B3" t="str">
        <f>IFERROR(__xludf.DUMMYFUNCTION("""COMPUTED_VALUE"""),"DSN")</f>
        <v>DSN</v>
      </c>
      <c r="C3" t="str">
        <f>IFERROR(__xludf.DUMMYFUNCTION("""COMPUTED_VALUE"""),"IEEE/IFIP International Conference on Dependable Systems and Networks")</f>
        <v>IEEE/IFIP International Conference on Dependable Systems and Networks</v>
      </c>
      <c r="D3">
        <f>IFERROR(__xludf.DUMMYFUNCTION("""COMPUTED_VALUE"""),37.0)</f>
        <v>37</v>
      </c>
      <c r="E3" s="59" t="str">
        <f>IFERROR(__xludf.DUMMYFUNCTION("""COMPUTED_VALUE"""),"https://scholar.google.com.br/citations?hl=en&amp;view_op=list_hcore&amp;venue=MVYbyyKMpToJ.2024")</f>
        <v>https://scholar.google.com.br/citations?hl=en&amp;view_op=list_hcore&amp;venue=MVYbyyKMpToJ.2024</v>
      </c>
      <c r="I3" s="60" t="str">
        <f>IFERROR(__xludf.DUMMYFUNCTION("""COMPUTED_VALUE"""),"https://dblp.org/db/conf/dsn/index.html")</f>
        <v>https://dblp.org/db/conf/dsn/index.html</v>
      </c>
    </row>
    <row r="4">
      <c r="A4" s="58" t="str">
        <f>IFERROR(__xludf.DUMMYFUNCTION("""COMPUTED_VALUE"""),"Top 10")</f>
        <v>Top 10</v>
      </c>
      <c r="B4" t="str">
        <f>IFERROR(__xludf.DUMMYFUNCTION("""COMPUTED_VALUE"""),"EuroSys")</f>
        <v>EuroSys</v>
      </c>
      <c r="C4" t="str">
        <f>IFERROR(__xludf.DUMMYFUNCTION("""COMPUTED_VALUE"""),"ACM European Conference on Computer Systems")</f>
        <v>ACM European Conference on Computer Systems</v>
      </c>
      <c r="D4">
        <f>IFERROR(__xludf.DUMMYFUNCTION("""COMPUTED_VALUE"""),48.0)</f>
        <v>48</v>
      </c>
      <c r="E4" s="59" t="str">
        <f>IFERROR(__xludf.DUMMYFUNCTION("""COMPUTED_VALUE"""),"https://scholar.google.com.br/citations?hl=en&amp;view_op=list_hcore&amp;venue=8LhhnAnPYO8J.2024")</f>
        <v>https://scholar.google.com.br/citations?hl=en&amp;view_op=list_hcore&amp;venue=8LhhnAnPYO8J.2024</v>
      </c>
      <c r="I4" s="60" t="str">
        <f>IFERROR(__xludf.DUMMYFUNCTION("""COMPUTED_VALUE"""),"https://dblp.org/db/conf/eurosys/index.html")</f>
        <v>https://dblp.org/db/conf/eurosys/index.html</v>
      </c>
    </row>
    <row r="5">
      <c r="A5" s="58" t="str">
        <f>IFERROR(__xludf.DUMMYFUNCTION("""COMPUTED_VALUE"""),"Top 10")</f>
        <v>Top 10</v>
      </c>
      <c r="B5" t="str">
        <f>IFERROR(__xludf.DUMMYFUNCTION("""COMPUTED_VALUE"""),"ICDCS")</f>
        <v>ICDCS</v>
      </c>
      <c r="C5" t="str">
        <f>IFERROR(__xludf.DUMMYFUNCTION("""COMPUTED_VALUE"""),"IEEE International Conference on Distributed Computing Systems")</f>
        <v>IEEE International Conference on Distributed Computing Systems</v>
      </c>
      <c r="D5">
        <f>IFERROR(__xludf.DUMMYFUNCTION("""COMPUTED_VALUE"""),48.0)</f>
        <v>48</v>
      </c>
      <c r="E5" s="59" t="str">
        <f>IFERROR(__xludf.DUMMYFUNCTION("""COMPUTED_VALUE"""),"https://scholar.google.com.br/citations?hl=en&amp;view_op=list_hcore&amp;venue=CiHz08Ia1nsJ.2024")</f>
        <v>https://scholar.google.com.br/citations?hl=en&amp;view_op=list_hcore&amp;venue=CiHz08Ia1nsJ.2024</v>
      </c>
      <c r="I5" s="60" t="str">
        <f>IFERROR(__xludf.DUMMYFUNCTION("""COMPUTED_VALUE"""),"https://dblp.org/db/conf/icdcs/index.html")</f>
        <v>https://dblp.org/db/conf/icdcs/index.html</v>
      </c>
    </row>
    <row r="6">
      <c r="A6" s="58" t="str">
        <f>IFERROR(__xludf.DUMMYFUNCTION("""COMPUTED_VALUE"""),"Top 10")</f>
        <v>Top 10</v>
      </c>
      <c r="B6" t="str">
        <f>IFERROR(__xludf.DUMMYFUNCTION("""COMPUTED_VALUE"""),"IPDPS")</f>
        <v>IPDPS</v>
      </c>
      <c r="C6" t="str">
        <f>IFERROR(__xludf.DUMMYFUNCTION("""COMPUTED_VALUE"""),"IEEE International Symposium on Parallel &amp; Distributed Processing")</f>
        <v>IEEE International Symposium on Parallel &amp; Distributed Processing</v>
      </c>
      <c r="D6">
        <f>IFERROR(__xludf.DUMMYFUNCTION("""COMPUTED_VALUE"""),38.0)</f>
        <v>38</v>
      </c>
      <c r="E6" s="59" t="str">
        <f>IFERROR(__xludf.DUMMYFUNCTION("""COMPUTED_VALUE"""),"https://scholar.google.com.br/citations?hl=en&amp;view_op=list_hcore&amp;venue=Cge5_JoKLicJ.2024")</f>
        <v>https://scholar.google.com.br/citations?hl=en&amp;view_op=list_hcore&amp;venue=Cge5_JoKLicJ.2024</v>
      </c>
      <c r="I6" s="60" t="str">
        <f>IFERROR(__xludf.DUMMYFUNCTION("""COMPUTED_VALUE"""),"https://dblp.org/db/conf/ipps/index.html")</f>
        <v>https://dblp.org/db/conf/ipps/index.html</v>
      </c>
    </row>
    <row r="7">
      <c r="A7" s="58" t="str">
        <f>IFERROR(__xludf.DUMMYFUNCTION("""COMPUTED_VALUE"""),"Top 10")</f>
        <v>Top 10</v>
      </c>
      <c r="B7" t="str">
        <f>IFERROR(__xludf.DUMMYFUNCTION("""COMPUTED_VALUE"""),"ISSRE")</f>
        <v>ISSRE</v>
      </c>
      <c r="C7" t="str">
        <f>IFERROR(__xludf.DUMMYFUNCTION("""COMPUTED_VALUE"""),"International Symposium on Software Reliability Engineering")</f>
        <v>International Symposium on Software Reliability Engineering</v>
      </c>
      <c r="D7">
        <f>IFERROR(__xludf.DUMMYFUNCTION("""COMPUTED_VALUE"""),28.0)</f>
        <v>28</v>
      </c>
      <c r="E7" s="59" t="str">
        <f>IFERROR(__xludf.DUMMYFUNCTION("""COMPUTED_VALUE"""),"https://scholar.google.com.br/citations?hl=en&amp;view_op=list_hcore&amp;venue=xJhIFxijeG8J.2024")</f>
        <v>https://scholar.google.com.br/citations?hl=en&amp;view_op=list_hcore&amp;venue=xJhIFxijeG8J.2024</v>
      </c>
      <c r="I7" s="60" t="str">
        <f>IFERROR(__xludf.DUMMYFUNCTION("""COMPUTED_VALUE"""),"https://dblp.org/db/conf/issre/index.html")</f>
        <v>https://dblp.org/db/conf/issre/index.html</v>
      </c>
    </row>
    <row r="8">
      <c r="A8" s="58" t="str">
        <f>IFERROR(__xludf.DUMMYFUNCTION("""COMPUTED_VALUE"""),"Top 10")</f>
        <v>Top 10</v>
      </c>
      <c r="B8" s="128" t="str">
        <f>IFERROR(__xludf.DUMMYFUNCTION("""COMPUTED_VALUE"""),"MIDDLEWARE")</f>
        <v>MIDDLEWARE</v>
      </c>
      <c r="C8" s="128" t="str">
        <f>IFERROR(__xludf.DUMMYFUNCTION("""COMPUTED_VALUE"""),"ACM/IFIP International Middleware Conference")</f>
        <v>ACM/IFIP International Middleware Conference</v>
      </c>
      <c r="D8">
        <f>IFERROR(__xludf.DUMMYFUNCTION("""COMPUTED_VALUE"""),22.0)</f>
        <v>22</v>
      </c>
      <c r="E8" s="59" t="str">
        <f>IFERROR(__xludf.DUMMYFUNCTION("""COMPUTED_VALUE"""),"https://scholar.google.com.br/citations?hl=en&amp;view_op=list_hcore&amp;venue=NA4iP0Rm0toJ.2024")</f>
        <v>https://scholar.google.com.br/citations?hl=en&amp;view_op=list_hcore&amp;venue=NA4iP0Rm0toJ.2024</v>
      </c>
      <c r="I8" s="60" t="str">
        <f>IFERROR(__xludf.DUMMYFUNCTION("""COMPUTED_VALUE"""),"https://dblp.org/db/conf/middleware/index.html")</f>
        <v>https://dblp.org/db/conf/middleware/index.html</v>
      </c>
    </row>
    <row r="9">
      <c r="A9" s="58" t="str">
        <f>IFERROR(__xludf.DUMMYFUNCTION("""COMPUTED_VALUE"""),"Top 10")</f>
        <v>Top 10</v>
      </c>
      <c r="B9" t="str">
        <f>IFERROR(__xludf.DUMMYFUNCTION("""COMPUTED_VALUE"""),"PODC")</f>
        <v>PODC</v>
      </c>
      <c r="C9" t="str">
        <f>IFERROR(__xludf.DUMMYFUNCTION("""COMPUTED_VALUE"""),"ACM Symposium on Principles of Distributed Computing")</f>
        <v>ACM Symposium on Principles of Distributed Computing</v>
      </c>
      <c r="D9">
        <f>IFERROR(__xludf.DUMMYFUNCTION("""COMPUTED_VALUE"""),30.0)</f>
        <v>30</v>
      </c>
      <c r="E9" s="59" t="str">
        <f>IFERROR(__xludf.DUMMYFUNCTION("""COMPUTED_VALUE"""),"https://scholar.google.com.br/citations?hl=en&amp;view_op=list_hcore&amp;venue=fcioh0Px5iMJ.2024")</f>
        <v>https://scholar.google.com.br/citations?hl=en&amp;view_op=list_hcore&amp;venue=fcioh0Px5iMJ.2024</v>
      </c>
      <c r="I9" s="60" t="str">
        <f>IFERROR(__xludf.DUMMYFUNCTION("""COMPUTED_VALUE"""),"https://dblp.org/db/conf/podc/index.html")</f>
        <v>https://dblp.org/db/conf/podc/index.html</v>
      </c>
    </row>
    <row r="10">
      <c r="A10" s="58" t="str">
        <f>IFERROR(__xludf.DUMMYFUNCTION("""COMPUTED_VALUE"""),"Top 10")</f>
        <v>Top 10</v>
      </c>
      <c r="B10" t="str">
        <f>IFERROR(__xludf.DUMMYFUNCTION("""COMPUTED_VALUE"""),"SafeComp")</f>
        <v>SafeComp</v>
      </c>
      <c r="C10" t="str">
        <f>IFERROR(__xludf.DUMMYFUNCTION("""COMPUTED_VALUE"""),"International Conference on Computer Safety, Reliability and Security ")</f>
        <v>International Conference on Computer Safety, Reliability and Security </v>
      </c>
      <c r="D10">
        <f>IFERROR(__xludf.DUMMYFUNCTION("""COMPUTED_VALUE"""),20.0)</f>
        <v>20</v>
      </c>
      <c r="E10" s="59" t="str">
        <f>IFERROR(__xludf.DUMMYFUNCTION("""COMPUTED_VALUE"""),"https://scholar.google.com.br/citations?hl=en&amp;view_op=list_hcore&amp;venue=fWfpTei59DsJ.2024")</f>
        <v>https://scholar.google.com.br/citations?hl=en&amp;view_op=list_hcore&amp;venue=fWfpTei59DsJ.2024</v>
      </c>
      <c r="I10" s="60" t="str">
        <f>IFERROR(__xludf.DUMMYFUNCTION("""COMPUTED_VALUE"""),"https://dblp.org/db/conf/safecomp/index.html")</f>
        <v>https://dblp.org/db/conf/safecomp/index.html</v>
      </c>
    </row>
    <row r="11">
      <c r="A11" s="58" t="str">
        <f>IFERROR(__xludf.DUMMYFUNCTION("""COMPUTED_VALUE"""),"Top 10")</f>
        <v>Top 10</v>
      </c>
      <c r="B11" t="str">
        <f>IFERROR(__xludf.DUMMYFUNCTION("""COMPUTED_VALUE"""),"SRDS")</f>
        <v>SRDS</v>
      </c>
      <c r="C11" t="str">
        <f>IFERROR(__xludf.DUMMYFUNCTION("""COMPUTED_VALUE"""),"IEEE Symposium on Reliable Distributed Systems")</f>
        <v>IEEE Symposium on Reliable Distributed Systems</v>
      </c>
      <c r="D11">
        <f>IFERROR(__xludf.DUMMYFUNCTION("""COMPUTED_VALUE"""),18.0)</f>
        <v>18</v>
      </c>
      <c r="E11" s="59" t="str">
        <f>IFERROR(__xludf.DUMMYFUNCTION("""COMPUTED_VALUE"""),"https://scholar.google.com.br/citations?hl=en&amp;view_op=list_hcore&amp;venue=f5ybybsCQdkJ.2024")</f>
        <v>https://scholar.google.com.br/citations?hl=en&amp;view_op=list_hcore&amp;venue=f5ybybsCQdkJ.2024</v>
      </c>
      <c r="I11" s="60" t="str">
        <f>IFERROR(__xludf.DUMMYFUNCTION("""COMPUTED_VALUE"""),"https://dblp.org/db/conf/srds/index.html")</f>
        <v>https://dblp.org/db/conf/srds/index.html</v>
      </c>
    </row>
    <row r="12">
      <c r="A12" s="65" t="str">
        <f>IFERROR(__xludf.DUMMYFUNCTION("""COMPUTED_VALUE"""),"Top 20")</f>
        <v>Top 20</v>
      </c>
      <c r="B12" t="str">
        <f>IFERROR(__xludf.DUMMYFUNCTION("""COMPUTED_VALUE"""),"DFT")</f>
        <v>DFT</v>
      </c>
      <c r="C12" t="str">
        <f>IFERROR(__xludf.DUMMYFUNCTION("""COMPUTED_VALUE"""),"IEEE International Symposium on Defect and Fault Tolerance in VLSI and Nanotechnology Systems")</f>
        <v>IEEE International Symposium on Defect and Fault Tolerance in VLSI and Nanotechnology Systems</v>
      </c>
      <c r="D12">
        <f>IFERROR(__xludf.DUMMYFUNCTION("""COMPUTED_VALUE"""),15.0)</f>
        <v>15</v>
      </c>
      <c r="E12" s="59" t="str">
        <f>IFERROR(__xludf.DUMMYFUNCTION("""COMPUTED_VALUE"""),"https://scholar.google.com.br/citations?hl=en&amp;view_op=list_hcore&amp;venue=y53zu2cNqqkJ.2018")</f>
        <v>https://scholar.google.com.br/citations?hl=en&amp;view_op=list_hcore&amp;venue=y53zu2cNqqkJ.2018</v>
      </c>
      <c r="I12" s="60" t="str">
        <f>IFERROR(__xludf.DUMMYFUNCTION("""COMPUTED_VALUE"""),"https://dblp.org/db/conf/dft/index.html")</f>
        <v>https://dblp.org/db/conf/dft/index.html</v>
      </c>
    </row>
    <row r="13">
      <c r="A13" s="65" t="str">
        <f>IFERROR(__xludf.DUMMYFUNCTION("""COMPUTED_VALUE"""),"Top 20")</f>
        <v>Top 20</v>
      </c>
      <c r="B13" t="str">
        <f>IFERROR(__xludf.DUMMYFUNCTION("""COMPUTED_VALUE"""),"EDCC")</f>
        <v>EDCC</v>
      </c>
      <c r="C13" t="str">
        <f>IFERROR(__xludf.DUMMYFUNCTION("""COMPUTED_VALUE"""),"European Dependable Computing Conference")</f>
        <v>European Dependable Computing Conference</v>
      </c>
      <c r="D13">
        <f>IFERROR(__xludf.DUMMYFUNCTION("""COMPUTED_VALUE"""),14.0)</f>
        <v>14</v>
      </c>
      <c r="E13" s="59" t="str">
        <f>IFERROR(__xludf.DUMMYFUNCTION("""COMPUTED_VALUE"""),"https://scholar.google.com.br/citations?hl=en&amp;view_op=list_hcore&amp;venue=YcdY4WsTx_sJ.2024")</f>
        <v>https://scholar.google.com.br/citations?hl=en&amp;view_op=list_hcore&amp;venue=YcdY4WsTx_sJ.2024</v>
      </c>
      <c r="I13" s="60" t="str">
        <f>IFERROR(__xludf.DUMMYFUNCTION("""COMPUTED_VALUE"""),"https://dblp.org/db/conf/edcc/index.html")</f>
        <v>https://dblp.org/db/conf/edcc/index.html</v>
      </c>
    </row>
    <row r="14">
      <c r="A14" s="65" t="str">
        <f>IFERROR(__xludf.DUMMYFUNCTION("""COMPUTED_VALUE"""),"Top 20")</f>
        <v>Top 20</v>
      </c>
      <c r="B14" t="str">
        <f>IFERROR(__xludf.DUMMYFUNCTION("""COMPUTED_VALUE"""),"HASE")</f>
        <v>HASE</v>
      </c>
      <c r="C14" t="str">
        <f>IFERROR(__xludf.DUMMYFUNCTION("""COMPUTED_VALUE"""),"IEEE High Assurance Systems Engineering Symposium")</f>
        <v>IEEE High Assurance Systems Engineering Symposium</v>
      </c>
      <c r="D14">
        <f>IFERROR(__xludf.DUMMYFUNCTION("""COMPUTED_VALUE"""),15.0)</f>
        <v>15</v>
      </c>
      <c r="E14" s="59" t="str">
        <f>IFERROR(__xludf.DUMMYFUNCTION("""COMPUTED_VALUE"""),"https://scholar.google.com.br/citations?hl=en&amp;view_op=list_hcore&amp;venue=EhHHXze7CIMJ.2021")</f>
        <v>https://scholar.google.com.br/citations?hl=en&amp;view_op=list_hcore&amp;venue=EhHHXze7CIMJ.2021</v>
      </c>
      <c r="I14" s="60" t="str">
        <f>IFERROR(__xludf.DUMMYFUNCTION("""COMPUTED_VALUE"""),"https://dblp.org/db/conf/hase/index.html")</f>
        <v>https://dblp.org/db/conf/hase/index.html</v>
      </c>
    </row>
    <row r="15">
      <c r="A15" s="65" t="str">
        <f>IFERROR(__xludf.DUMMYFUNCTION("""COMPUTED_VALUE"""),"Top 20")</f>
        <v>Top 20</v>
      </c>
      <c r="B15" t="str">
        <f>IFERROR(__xludf.DUMMYFUNCTION("""COMPUTED_VALUE"""),"ICDCN")</f>
        <v>ICDCN</v>
      </c>
      <c r="C15" t="str">
        <f>IFERROR(__xludf.DUMMYFUNCTION("""COMPUTED_VALUE"""),"International Conference on Distributed Computing and Networking")</f>
        <v>International Conference on Distributed Computing and Networking</v>
      </c>
      <c r="D15">
        <f>IFERROR(__xludf.DUMMYFUNCTION("""COMPUTED_VALUE"""),13.0)</f>
        <v>13</v>
      </c>
      <c r="E15" s="59" t="str">
        <f>IFERROR(__xludf.DUMMYFUNCTION("""COMPUTED_VALUE"""),"https://scholar.google.com.br/citations?hl=en&amp;view_op=list_hcore&amp;venue=6yOnSpL6IYsJ.2024")</f>
        <v>https://scholar.google.com.br/citations?hl=en&amp;view_op=list_hcore&amp;venue=6yOnSpL6IYsJ.2024</v>
      </c>
      <c r="I15" s="60" t="str">
        <f>IFERROR(__xludf.DUMMYFUNCTION("""COMPUTED_VALUE"""),"https://dblp.org/db/conf/icdcn/index.html")</f>
        <v>https://dblp.org/db/conf/icdcn/index.html</v>
      </c>
    </row>
    <row r="16">
      <c r="A16" s="65" t="str">
        <f>IFERROR(__xludf.DUMMYFUNCTION("""COMPUTED_VALUE"""),"Top 20")</f>
        <v>Top 20</v>
      </c>
      <c r="B16" t="str">
        <f>IFERROR(__xludf.DUMMYFUNCTION("""COMPUTED_VALUE"""),"ISCC")</f>
        <v>ISCC</v>
      </c>
      <c r="C16" t="str">
        <f>IFERROR(__xludf.DUMMYFUNCTION("""COMPUTED_VALUE"""),"IEEE Symposium on Computers and Communications")</f>
        <v>IEEE Symposium on Computers and Communications</v>
      </c>
      <c r="D16">
        <f>IFERROR(__xludf.DUMMYFUNCTION("""COMPUTED_VALUE"""),26.0)</f>
        <v>26</v>
      </c>
      <c r="E16" s="59" t="str">
        <f>IFERROR(__xludf.DUMMYFUNCTION("""COMPUTED_VALUE"""),"https://scholar.google.com.br/citations?hl=en&amp;view_op=list_hcore&amp;venue=0jK8bHjCH68J.2024")</f>
        <v>https://scholar.google.com.br/citations?hl=en&amp;view_op=list_hcore&amp;venue=0jK8bHjCH68J.2024</v>
      </c>
      <c r="I16" s="60" t="str">
        <f>IFERROR(__xludf.DUMMYFUNCTION("""COMPUTED_VALUE"""),"https://dblp.org/db/conf/iscc/index.html")</f>
        <v>https://dblp.org/db/conf/iscc/index.html</v>
      </c>
    </row>
    <row r="17">
      <c r="A17" s="65" t="str">
        <f>IFERROR(__xludf.DUMMYFUNCTION("""COMPUTED_VALUE"""),"Top 20")</f>
        <v>Top 20</v>
      </c>
      <c r="B17" t="str">
        <f>IFERROR(__xludf.DUMMYFUNCTION("""COMPUTED_VALUE"""),"LADC")</f>
        <v>LADC</v>
      </c>
      <c r="C17" t="str">
        <f>IFERROR(__xludf.DUMMYFUNCTION("""COMPUTED_VALUE"""),"Latin-American Symposium on Dependable Computing")</f>
        <v>Latin-American Symposium on Dependable Computing</v>
      </c>
      <c r="D17">
        <f>IFERROR(__xludf.DUMMYFUNCTION("""COMPUTED_VALUE"""),14.0)</f>
        <v>14</v>
      </c>
      <c r="E17" s="59" t="str">
        <f>IFERROR(__xludf.DUMMYFUNCTION("""COMPUTED_VALUE"""),"https://scholar.google.com/scholar?as_q=&amp;as_epq=&amp;as_oq=&amp;as_eq=&amp;as_occt=any&amp;as_sauthors=&amp;as_publication=Latin-American+Symposium+on+Dependable+Computing&amp;as_ylo=&amp;as_yhi=&amp;hl=en&amp;as_sdt=0%2C5")</f>
        <v>https://scholar.google.com/scholar?as_q=&amp;as_epq=&amp;as_oq=&amp;as_eq=&amp;as_occt=any&amp;as_sauthors=&amp;as_publication=Latin-American+Symposium+on+Dependable+Computing&amp;as_ylo=&amp;as_yhi=&amp;hl=en&amp;as_sdt=0%2C5</v>
      </c>
      <c r="F17" t="str">
        <f>IFERROR(__xludf.DUMMYFUNCTION("""COMPUTED_VALUE"""),"LADC")</f>
        <v>LADC</v>
      </c>
      <c r="G17" t="str">
        <f>IFERROR(__xludf.DUMMYFUNCTION("""COMPUTED_VALUE"""),"Latin-American Symposium on Dependable and Secure Computing")</f>
        <v>Latin-American Symposium on Dependable and Secure Computing</v>
      </c>
      <c r="I17" s="60" t="str">
        <f>IFERROR(__xludf.DUMMYFUNCTION("""COMPUTED_VALUE"""),"https://dblp.org/db/conf/ladc/index.html")</f>
        <v>https://dblp.org/db/conf/ladc/index.html</v>
      </c>
      <c r="J17" s="60" t="str">
        <f>IFERROR(__xludf.DUMMYFUNCTION("""COMPUTED_VALUE"""),"https://sol.sbc.org.br/index.php/ladc")</f>
        <v>https://sol.sbc.org.br/index.php/ladc</v>
      </c>
    </row>
    <row r="18">
      <c r="A18" s="65" t="str">
        <f>IFERROR(__xludf.DUMMYFUNCTION("""COMPUTED_VALUE"""),"Top 20")</f>
        <v>Top 20</v>
      </c>
      <c r="B18" t="str">
        <f>IFERROR(__xludf.DUMMYFUNCTION("""COMPUTED_VALUE"""),"OPODIS")</f>
        <v>OPODIS</v>
      </c>
      <c r="C18" s="129" t="str">
        <f>IFERROR(__xludf.DUMMYFUNCTION("""COMPUTED_VALUE"""),"International Conference on Principles of Distributed Systems")</f>
        <v>International Conference on Principles of Distributed Systems</v>
      </c>
      <c r="D18">
        <f>IFERROR(__xludf.DUMMYFUNCTION("""COMPUTED_VALUE"""),18.0)</f>
        <v>18</v>
      </c>
      <c r="E18" s="59" t="str">
        <f>IFERROR(__xludf.DUMMYFUNCTION("""COMPUTED_VALUE"""),"https://scholar.google.com.br/citations?hl=en&amp;view_op=list_hcore&amp;venue=0luRC0xHVlsJ.2024")</f>
        <v>https://scholar.google.com.br/citations?hl=en&amp;view_op=list_hcore&amp;venue=0luRC0xHVlsJ.2024</v>
      </c>
      <c r="I18" s="60" t="str">
        <f>IFERROR(__xludf.DUMMYFUNCTION("""COMPUTED_VALUE"""),"https://dblp.org/db/conf/opodis/index.html")</f>
        <v>https://dblp.org/db/conf/opodis/index.html</v>
      </c>
    </row>
    <row r="19">
      <c r="A19" s="65" t="str">
        <f>IFERROR(__xludf.DUMMYFUNCTION("""COMPUTED_VALUE"""),"Top 20")</f>
        <v>Top 20</v>
      </c>
      <c r="B19" t="str">
        <f>IFERROR(__xludf.DUMMYFUNCTION("""COMPUTED_VALUE"""),"PRDC")</f>
        <v>PRDC</v>
      </c>
      <c r="C19" t="str">
        <f>IFERROR(__xludf.DUMMYFUNCTION("""COMPUTED_VALUE"""),"Pacific Rim International Symposium on Dependable Computing")</f>
        <v>Pacific Rim International Symposium on Dependable Computing</v>
      </c>
      <c r="D19">
        <f>IFERROR(__xludf.DUMMYFUNCTION("""COMPUTED_VALUE"""),13.0)</f>
        <v>13</v>
      </c>
      <c r="E19" s="59" t="str">
        <f>IFERROR(__xludf.DUMMYFUNCTION("""COMPUTED_VALUE"""),"https://scholar.google.com.br/citations?hl=en&amp;view_op=list_hcore&amp;venue=UMMGw1KV79IJ.2024")</f>
        <v>https://scholar.google.com.br/citations?hl=en&amp;view_op=list_hcore&amp;venue=UMMGw1KV79IJ.2024</v>
      </c>
      <c r="I19" s="60" t="str">
        <f>IFERROR(__xludf.DUMMYFUNCTION("""COMPUTED_VALUE"""),"https://dblp.org/db/conf/prdc/index.html")</f>
        <v>https://dblp.org/db/conf/prdc/index.html</v>
      </c>
    </row>
    <row r="20">
      <c r="A20" s="65" t="str">
        <f>IFERROR(__xludf.DUMMYFUNCTION("""COMPUTED_VALUE"""),"Top 20")</f>
        <v>Top 20</v>
      </c>
      <c r="B20" t="str">
        <f>IFERROR(__xludf.DUMMYFUNCTION("""COMPUTED_VALUE"""),"SAST")</f>
        <v>SAST</v>
      </c>
      <c r="C20" t="str">
        <f>IFERROR(__xludf.DUMMYFUNCTION("""COMPUTED_VALUE"""),"Brazilian Symposium on Systematic and Automated Software Testing")</f>
        <v>Brazilian Symposium on Systematic and Automated Software Testing</v>
      </c>
      <c r="D20">
        <f>IFERROR(__xludf.DUMMYFUNCTION("""COMPUTED_VALUE"""),12.0)</f>
        <v>12</v>
      </c>
      <c r="E20" s="59" t="str">
        <f>IFERROR(__xludf.DUMMYFUNCTION("""COMPUTED_VALUE"""),"via plugin do google - pesquisei de todo o período")</f>
        <v>via plugin do google - pesquisei de todo o período</v>
      </c>
      <c r="I20" s="60" t="str">
        <f>IFERROR(__xludf.DUMMYFUNCTION("""COMPUTED_VALUE"""),"https://dblp.org/db/conf/sast/index.html")</f>
        <v>https://dblp.org/db/conf/sast/index.html</v>
      </c>
      <c r="J20" s="60" t="str">
        <f>IFERROR(__xludf.DUMMYFUNCTION("""COMPUTED_VALUE"""),"https://sol.sbc.org.br/index.php/sast")</f>
        <v>https://sol.sbc.org.br/index.php/sast</v>
      </c>
    </row>
    <row r="21">
      <c r="A21" s="65" t="str">
        <f>IFERROR(__xludf.DUMMYFUNCTION("""COMPUTED_VALUE"""),"Top 20")</f>
        <v>Top 20</v>
      </c>
      <c r="B21" t="str">
        <f>IFERROR(__xludf.DUMMYFUNCTION("""COMPUTED_VALUE"""),"SYSTOL")</f>
        <v>SYSTOL</v>
      </c>
      <c r="C21" t="str">
        <f>IFERROR(__xludf.DUMMYFUNCTION("""COMPUTED_VALUE"""),"Conference on Control and Fault-Tolerant Systems")</f>
        <v>Conference on Control and Fault-Tolerant Systems</v>
      </c>
      <c r="D21">
        <f>IFERROR(__xludf.DUMMYFUNCTION("""COMPUTED_VALUE"""),9.0)</f>
        <v>9</v>
      </c>
      <c r="E21" s="59" t="str">
        <f>IFERROR(__xludf.DUMMYFUNCTION("""COMPUTED_VALUE"""),"https://scholar.google.com.br/citations?hl=en&amp;view_op=list_hcore&amp;venue=y8-AwXJ0Me0J.2024")</f>
        <v>https://scholar.google.com.br/citations?hl=en&amp;view_op=list_hcore&amp;venue=y8-AwXJ0Me0J.2024</v>
      </c>
      <c r="I21" s="60" t="str">
        <f>IFERROR(__xludf.DUMMYFUNCTION("""COMPUTED_VALUE"""),"https://dblp.org/db/conf/systol/index.html")</f>
        <v>https://dblp.org/db/conf/systol/index.html</v>
      </c>
    </row>
    <row r="22">
      <c r="A22" s="68" t="str">
        <f>IFERROR(__xludf.DUMMYFUNCTION("""COMPUTED_VALUE"""),"Eventos da Área")</f>
        <v>Eventos da Área</v>
      </c>
      <c r="B22" t="str">
        <f>IFERROR(__xludf.DUMMYFUNCTION("""COMPUTED_VALUE"""),"AINA")</f>
        <v>AINA</v>
      </c>
      <c r="C22" t="str">
        <f>IFERROR(__xludf.DUMMYFUNCTION("""COMPUTED_VALUE"""),"IEEE International Conference on Advanced Information Networking and Applications")</f>
        <v>IEEE International Conference on Advanced Information Networking and Applications</v>
      </c>
      <c r="D22">
        <f>IFERROR(__xludf.DUMMYFUNCTION("""COMPUTED_VALUE"""),21.0)</f>
        <v>21</v>
      </c>
      <c r="E22" s="59" t="str">
        <f>IFERROR(__xludf.DUMMYFUNCTION("""COMPUTED_VALUE"""),"https://scholar.google.com.br/citations?hl=en&amp;view_op=list_hcore&amp;venue=FBp6ksxIdQYJ.2024")</f>
        <v>https://scholar.google.com.br/citations?hl=en&amp;view_op=list_hcore&amp;venue=FBp6ksxIdQYJ.2024</v>
      </c>
      <c r="I22" s="60" t="str">
        <f>IFERROR(__xludf.DUMMYFUNCTION("""COMPUTED_VALUE"""),"https://dblp.org/db/conf/aina/index.html")</f>
        <v>https://dblp.org/db/conf/aina/index.html</v>
      </c>
    </row>
    <row r="23">
      <c r="A23" s="68" t="str">
        <f>IFERROR(__xludf.DUMMYFUNCTION("""COMPUTED_VALUE"""),"Eventos da Área")</f>
        <v>Eventos da Área</v>
      </c>
      <c r="B23" t="str">
        <f>IFERROR(__xludf.DUMMYFUNCTION("""COMPUTED_VALUE"""),"DEPCOS")</f>
        <v>DEPCOS</v>
      </c>
      <c r="C23" t="str">
        <f>IFERROR(__xludf.DUMMYFUNCTION("""COMPUTED_VALUE"""),"International Conference on Dependability of Computer Systems")</f>
        <v>International Conference on Dependability of Computer Systems</v>
      </c>
      <c r="D23">
        <f>IFERROR(__xludf.DUMMYFUNCTION("""COMPUTED_VALUE"""),9.0)</f>
        <v>9</v>
      </c>
      <c r="E23" s="59" t="str">
        <f>IFERROR(__xludf.DUMMYFUNCTION("""COMPUTED_VALUE"""),"https://scholar.google.com/scholar?as_q=&amp;as_epq=&amp;as_oq=&amp;as_eq=&amp;as_occt=any&amp;as_sauthors=&amp;as_publication=International+Conference+on+Dependability+of+Computer+Systems&amp;as_ylo=&amp;as_yhi=&amp;hl=en&amp;as_sdt=0%2C5")</f>
        <v>https://scholar.google.com/scholar?as_q=&amp;as_epq=&amp;as_oq=&amp;as_eq=&amp;as_occt=any&amp;as_sauthors=&amp;as_publication=International+Conference+on+Dependability+of+Computer+Systems&amp;as_ylo=&amp;as_yhi=&amp;hl=en&amp;as_sdt=0%2C5</v>
      </c>
      <c r="I23" s="60" t="str">
        <f>IFERROR(__xludf.DUMMYFUNCTION("""COMPUTED_VALUE"""),"https://dblp.org/db/conf/depcos/index.html")</f>
        <v>https://dblp.org/db/conf/depcos/index.html</v>
      </c>
    </row>
    <row r="24">
      <c r="A24" s="68" t="str">
        <f>IFERROR(__xludf.DUMMYFUNCTION("""COMPUTED_VALUE"""),"Eventos da Área")</f>
        <v>Eventos da Área</v>
      </c>
      <c r="B24" t="str">
        <f>IFERROR(__xludf.DUMMYFUNCTION("""COMPUTED_VALUE"""),"DSNW")</f>
        <v>DSNW</v>
      </c>
      <c r="C24" t="str">
        <f>IFERROR(__xludf.DUMMYFUNCTION("""COMPUTED_VALUE"""),"IEEE International Conference on Dependable Systems and Networks Workshops")</f>
        <v>IEEE International Conference on Dependable Systems and Networks Workshops</v>
      </c>
      <c r="D24">
        <f>IFERROR(__xludf.DUMMYFUNCTION("""COMPUTED_VALUE"""),25.0)</f>
        <v>25</v>
      </c>
      <c r="E24" s="59" t="str">
        <f>IFERROR(__xludf.DUMMYFUNCTION("""COMPUTED_VALUE"""),"https://scholar.google.com/scholar?as_q=&amp;as_epq=&amp;as_oq=&amp;as_eq=&amp;as_occt=any&amp;as_sauthors=&amp;as_publication=IEEE+International+Conference+on+Dependable+Systems+and+Networks+Workshops&amp;as_ylo=&amp;as_yhi=&amp;hl=en&amp;as_sdt=0%2C5")</f>
        <v>https://scholar.google.com/scholar?as_q=&amp;as_epq=&amp;as_oq=&amp;as_eq=&amp;as_occt=any&amp;as_sauthors=&amp;as_publication=IEEE+International+Conference+on+Dependable+Systems+and+Networks+Workshops&amp;as_ylo=&amp;as_yhi=&amp;hl=en&amp;as_sdt=0%2C5</v>
      </c>
      <c r="I24" s="60" t="str">
        <f>IFERROR(__xludf.DUMMYFUNCTION("""COMPUTED_VALUE"""),"https://dblp.org/db/conf/dsn/dsn2024w.html")</f>
        <v>https://dblp.org/db/conf/dsn/dsn2024w.html</v>
      </c>
    </row>
    <row r="25">
      <c r="A25" s="68" t="str">
        <f>IFERROR(__xludf.DUMMYFUNCTION("""COMPUTED_VALUE"""),"Eventos da Área")</f>
        <v>Eventos da Área</v>
      </c>
      <c r="B25" t="str">
        <f>IFERROR(__xludf.DUMMYFUNCTION("""COMPUTED_VALUE"""),"ICA3PP")</f>
        <v>ICA3PP</v>
      </c>
      <c r="C25" t="str">
        <f>IFERROR(__xludf.DUMMYFUNCTION("""COMPUTED_VALUE"""),"International Conference on Algorithms and Architectures for Parallel Processing")</f>
        <v>International Conference on Algorithms and Architectures for Parallel Processing</v>
      </c>
      <c r="D25">
        <f>IFERROR(__xludf.DUMMYFUNCTION("""COMPUTED_VALUE"""),12.0)</f>
        <v>12</v>
      </c>
      <c r="E25" s="59" t="str">
        <f>IFERROR(__xludf.DUMMYFUNCTION("""COMPUTED_VALUE"""),"https://scholar.google.com.br/citations?hl=en&amp;view_op=list_hcore&amp;venue=SrrjCUAZeRcJ.2024")</f>
        <v>https://scholar.google.com.br/citations?hl=en&amp;view_op=list_hcore&amp;venue=SrrjCUAZeRcJ.2024</v>
      </c>
      <c r="I25" s="60" t="str">
        <f>IFERROR(__xludf.DUMMYFUNCTION("""COMPUTED_VALUE"""),"https://dblp.org/db/conf/ica3pp/index.html")</f>
        <v>https://dblp.org/db/conf/ica3pp/index.html</v>
      </c>
    </row>
    <row r="26">
      <c r="A26" s="68" t="str">
        <f>IFERROR(__xludf.DUMMYFUNCTION("""COMPUTED_VALUE"""),"Eventos da Área")</f>
        <v>Eventos da Área</v>
      </c>
      <c r="B26" t="str">
        <f>IFERROR(__xludf.DUMMYFUNCTION("""COMPUTED_VALUE"""),"ICDCSW")</f>
        <v>ICDCSW</v>
      </c>
      <c r="C26" t="str">
        <f>IFERROR(__xludf.DUMMYFUNCTION("""COMPUTED_VALUE"""),"International Conference on Distributed Computing Systems Workshops")</f>
        <v>International Conference on Distributed Computing Systems Workshops</v>
      </c>
      <c r="D26">
        <f>IFERROR(__xludf.DUMMYFUNCTION("""COMPUTED_VALUE"""),14.0)</f>
        <v>14</v>
      </c>
      <c r="E26" s="59" t="str">
        <f>IFERROR(__xludf.DUMMYFUNCTION("""COMPUTED_VALUE"""),"https://scholar.google.com.br/citations?hl=en&amp;view_op=list_hcore&amp;venue=iYMCTRkCEn4J.2019")</f>
        <v>https://scholar.google.com.br/citations?hl=en&amp;view_op=list_hcore&amp;venue=iYMCTRkCEn4J.2019</v>
      </c>
      <c r="I26" s="60" t="str">
        <f>IFERROR(__xludf.DUMMYFUNCTION("""COMPUTED_VALUE"""),"https://dblp.org/db/conf/icdcs/icdcs2024w.html")</f>
        <v>https://dblp.org/db/conf/icdcs/icdcs2024w.html</v>
      </c>
    </row>
    <row r="27">
      <c r="A27" s="68" t="str">
        <f>IFERROR(__xludf.DUMMYFUNCTION("""COMPUTED_VALUE"""),"Eventos da Área")</f>
        <v>Eventos da Área</v>
      </c>
      <c r="B27" t="str">
        <f>IFERROR(__xludf.DUMMYFUNCTION("""COMPUTED_VALUE"""),"ICPADS")</f>
        <v>ICPADS</v>
      </c>
      <c r="C27" t="str">
        <f>IFERROR(__xludf.DUMMYFUNCTION("""COMPUTED_VALUE"""),"IEEE International Conference on Parallel and Distributed Systems")</f>
        <v>IEEE International Conference on Parallel and Distributed Systems</v>
      </c>
      <c r="D27">
        <f>IFERROR(__xludf.DUMMYFUNCTION("""COMPUTED_VALUE"""),21.0)</f>
        <v>21</v>
      </c>
      <c r="E27" s="59" t="str">
        <f>IFERROR(__xludf.DUMMYFUNCTION("""COMPUTED_VALUE"""),"https://scholar.google.com.br/citations?hl=en&amp;view_op=list_hcore&amp;venue=J2WvLRIhE6UJ.2024")</f>
        <v>https://scholar.google.com.br/citations?hl=en&amp;view_op=list_hcore&amp;venue=J2WvLRIhE6UJ.2024</v>
      </c>
      <c r="I27" s="60" t="str">
        <f>IFERROR(__xludf.DUMMYFUNCTION("""COMPUTED_VALUE"""),"https://dblp.org/rec/conf/icpads/2010.html")</f>
        <v>https://dblp.org/rec/conf/icpads/2010.html</v>
      </c>
    </row>
    <row r="28">
      <c r="A28" s="68" t="str">
        <f>IFERROR(__xludf.DUMMYFUNCTION("""COMPUTED_VALUE"""),"Eventos da Área")</f>
        <v>Eventos da Área</v>
      </c>
      <c r="B28" t="str">
        <f>IFERROR(__xludf.DUMMYFUNCTION("""COMPUTED_VALUE"""),"ICPP")</f>
        <v>ICPP</v>
      </c>
      <c r="C28" t="str">
        <f>IFERROR(__xludf.DUMMYFUNCTION("""COMPUTED_VALUE"""),"International Conference on Parallel Processing")</f>
        <v>International Conference on Parallel Processing</v>
      </c>
      <c r="D28">
        <f>IFERROR(__xludf.DUMMYFUNCTION("""COMPUTED_VALUE"""),11.0)</f>
        <v>11</v>
      </c>
      <c r="E28" s="59" t="str">
        <f>IFERROR(__xludf.DUMMYFUNCTION("""COMPUTED_VALUE"""),"https://scholar.google.com.br/citations?hl=en&amp;view_op=list_hcore&amp;venue=x2Xq7JEL5msJ.2024")</f>
        <v>https://scholar.google.com.br/citations?hl=en&amp;view_op=list_hcore&amp;venue=x2Xq7JEL5msJ.2024</v>
      </c>
      <c r="I28" s="60" t="str">
        <f>IFERROR(__xludf.DUMMYFUNCTION("""COMPUTED_VALUE"""),"https://dblp.org/db/conf/icpp/index.html")</f>
        <v>https://dblp.org/db/conf/icpp/index.html</v>
      </c>
    </row>
    <row r="29">
      <c r="A29" s="68" t="str">
        <f>IFERROR(__xludf.DUMMYFUNCTION("""COMPUTED_VALUE"""),"Eventos da Área")</f>
        <v>Eventos da Área</v>
      </c>
      <c r="B29" t="str">
        <f>IFERROR(__xludf.DUMMYFUNCTION("""COMPUTED_VALUE"""),"ISPDC")</f>
        <v>ISPDC</v>
      </c>
      <c r="C29" t="str">
        <f>IFERROR(__xludf.DUMMYFUNCTION("""COMPUTED_VALUE"""),"International Symposium on Parallel and Distributed Computing")</f>
        <v>International Symposium on Parallel and Distributed Computing</v>
      </c>
      <c r="D29">
        <f>IFERROR(__xludf.DUMMYFUNCTION("""COMPUTED_VALUE"""),12.0)</f>
        <v>12</v>
      </c>
      <c r="E29" s="59" t="str">
        <f>IFERROR(__xludf.DUMMYFUNCTION("""COMPUTED_VALUE"""),"https://scholar.google.com.br/citations?hl=en&amp;view_op=list_hcore&amp;venue=BZK2l1JW2UsJ.2024")</f>
        <v>https://scholar.google.com.br/citations?hl=en&amp;view_op=list_hcore&amp;venue=BZK2l1JW2UsJ.2024</v>
      </c>
      <c r="I29" s="60" t="str">
        <f>IFERROR(__xludf.DUMMYFUNCTION("""COMPUTED_VALUE"""),"https://dblp.org/db/conf/ispdc/index.html")</f>
        <v>https://dblp.org/db/conf/ispdc/index.html</v>
      </c>
    </row>
    <row r="30">
      <c r="A30" s="68" t="str">
        <f>IFERROR(__xludf.DUMMYFUNCTION("""COMPUTED_VALUE"""),"Eventos da Área")</f>
        <v>Eventos da Área</v>
      </c>
      <c r="B30" t="str">
        <f>IFERROR(__xludf.DUMMYFUNCTION("""COMPUTED_VALUE"""),"LATS")</f>
        <v>LATS</v>
      </c>
      <c r="C30" t="str">
        <f>IFERROR(__xludf.DUMMYFUNCTION("""COMPUTED_VALUE"""),"IEEE Latin American Test Symposium")</f>
        <v>IEEE Latin American Test Symposium</v>
      </c>
      <c r="D30">
        <f>IFERROR(__xludf.DUMMYFUNCTION("""COMPUTED_VALUE"""),9.0)</f>
        <v>9</v>
      </c>
      <c r="E30" s="59" t="str">
        <f>IFERROR(__xludf.DUMMYFUNCTION("""COMPUTED_VALUE"""),"https://scholar.google.com.br/citations?hl=en&amp;view_op=list_hcore&amp;venue=IdSNHXeKP5gJ.2024")</f>
        <v>https://scholar.google.com.br/citations?hl=en&amp;view_op=list_hcore&amp;venue=IdSNHXeKP5gJ.2024</v>
      </c>
      <c r="I30" s="60" t="str">
        <f>IFERROR(__xludf.DUMMYFUNCTION("""COMPUTED_VALUE"""),"https://dblp.org/db/conf/latw/index.html")</f>
        <v>https://dblp.org/db/conf/latw/index.html</v>
      </c>
    </row>
    <row r="31">
      <c r="A31" s="68" t="str">
        <f>IFERROR(__xludf.DUMMYFUNCTION("""COMPUTED_VALUE"""),"Eventos da Área")</f>
        <v>Eventos da Área</v>
      </c>
      <c r="B31" t="str">
        <f>IFERROR(__xludf.DUMMYFUNCTION("""COMPUTED_VALUE"""),"NCA")</f>
        <v>NCA</v>
      </c>
      <c r="C31" t="str">
        <f>IFERROR(__xludf.DUMMYFUNCTION("""COMPUTED_VALUE"""),"IEEE International Symposium on Network Computing and Applications")</f>
        <v>IEEE International Symposium on Network Computing and Applications</v>
      </c>
      <c r="D31">
        <f>IFERROR(__xludf.DUMMYFUNCTION("""COMPUTED_VALUE"""),17.0)</f>
        <v>17</v>
      </c>
      <c r="E31" s="59" t="str">
        <f>IFERROR(__xludf.DUMMYFUNCTION("""COMPUTED_VALUE"""),"https://scholar.google.com.br/citations?hl=en&amp;view_op=list_hcore&amp;venue=lTgG3I7tby0J.2024")</f>
        <v>https://scholar.google.com.br/citations?hl=en&amp;view_op=list_hcore&amp;venue=lTgG3I7tby0J.2024</v>
      </c>
      <c r="I31" s="60" t="str">
        <f>IFERROR(__xludf.DUMMYFUNCTION("""COMPUTED_VALUE"""),"https://dblp.org/db/conf/nca/index.html")</f>
        <v>https://dblp.org/db/conf/nca/index.html</v>
      </c>
    </row>
    <row r="32">
      <c r="A32" s="68" t="str">
        <f>IFERROR(__xludf.DUMMYFUNCTION("""COMPUTED_VALUE"""),"Eventos da Área")</f>
        <v>Eventos da Área</v>
      </c>
      <c r="B32" t="str">
        <f>IFERROR(__xludf.DUMMYFUNCTION("""COMPUTED_VALUE"""),"NSDI")</f>
        <v>NSDI</v>
      </c>
      <c r="C32" t="str">
        <f>IFERROR(__xludf.DUMMYFUNCTION("""COMPUTED_VALUE"""),"USENIX Symposium on Networked Systems Design and Implementation")</f>
        <v>USENIX Symposium on Networked Systems Design and Implementation</v>
      </c>
      <c r="D32">
        <f>IFERROR(__xludf.DUMMYFUNCTION("""COMPUTED_VALUE"""),60.0)</f>
        <v>60</v>
      </c>
      <c r="E32" s="59" t="str">
        <f>IFERROR(__xludf.DUMMYFUNCTION("""COMPUTED_VALUE"""),"https://scholar.google.com.br/citations?hl=en&amp;view_op=list_hcore&amp;venue=J92rQU3cJVwJ.2023")</f>
        <v>https://scholar.google.com.br/citations?hl=en&amp;view_op=list_hcore&amp;venue=J92rQU3cJVwJ.2023</v>
      </c>
      <c r="I32" s="60" t="str">
        <f>IFERROR(__xludf.DUMMYFUNCTION("""COMPUTED_VALUE"""),"https://dblp.org/db/conf/nsdi/index.html")</f>
        <v>https://dblp.org/db/conf/nsdi/index.html</v>
      </c>
    </row>
    <row r="33">
      <c r="A33" s="68" t="str">
        <f>IFERROR(__xludf.DUMMYFUNCTION("""COMPUTED_VALUE"""),"Eventos da Área")</f>
        <v>Eventos da Área</v>
      </c>
      <c r="B33" t="str">
        <f>IFERROR(__xludf.DUMMYFUNCTION("""COMPUTED_VALUE"""),"OSDI")</f>
        <v>OSDI</v>
      </c>
      <c r="C33" t="str">
        <f>IFERROR(__xludf.DUMMYFUNCTION("""COMPUTED_VALUE"""),"USENIX Symposium on Operating Systems Design and Implementation")</f>
        <v>USENIX Symposium on Operating Systems Design and Implementation</v>
      </c>
      <c r="D33">
        <f>IFERROR(__xludf.DUMMYFUNCTION("""COMPUTED_VALUE"""),54.0)</f>
        <v>54</v>
      </c>
      <c r="E33" s="59" t="str">
        <f>IFERROR(__xludf.DUMMYFUNCTION("""COMPUTED_VALUE"""),"https://scholar.google.com.br/citations?hl=en&amp;view_op=list_hcore&amp;venue=nZZ8G3Einp0J.2024")</f>
        <v>https://scholar.google.com.br/citations?hl=en&amp;view_op=list_hcore&amp;venue=nZZ8G3Einp0J.2024</v>
      </c>
      <c r="I33" s="60" t="str">
        <f>IFERROR(__xludf.DUMMYFUNCTION("""COMPUTED_VALUE"""),"https://dblp.org/db/conf/osdi/osdi2022.html")</f>
        <v>https://dblp.org/db/conf/osdi/osdi2022.html</v>
      </c>
    </row>
    <row r="34">
      <c r="A34" s="68" t="str">
        <f>IFERROR(__xludf.DUMMYFUNCTION("""COMPUTED_VALUE"""),"Eventos da Área")</f>
        <v>Eventos da Área</v>
      </c>
      <c r="B34" t="str">
        <f>IFERROR(__xludf.DUMMYFUNCTION("""COMPUTED_VALUE"""),"SBAC-PAD")</f>
        <v>SBAC-PAD</v>
      </c>
      <c r="C34" t="str">
        <f>IFERROR(__xludf.DUMMYFUNCTION("""COMPUTED_VALUE"""),"International Symposium on Computer Architecture and High Performance Computing")</f>
        <v>International Symposium on Computer Architecture and High Performance Computing</v>
      </c>
      <c r="D34">
        <f>IFERROR(__xludf.DUMMYFUNCTION("""COMPUTED_VALUE"""),12.0)</f>
        <v>12</v>
      </c>
      <c r="E34" s="59" t="str">
        <f>IFERROR(__xludf.DUMMYFUNCTION("""COMPUTED_VALUE"""),"https://scholar.google.com.br/citations?hl=en&amp;view_op=list_hcore&amp;venue=xujU2BmpDawJ.2024")</f>
        <v>https://scholar.google.com.br/citations?hl=en&amp;view_op=list_hcore&amp;venue=xujU2BmpDawJ.2024</v>
      </c>
      <c r="I34" s="60" t="str">
        <f>IFERROR(__xludf.DUMMYFUNCTION("""COMPUTED_VALUE"""),"https://dblp.org/rec/conf/sbac-pad/2017.html")</f>
        <v>https://dblp.org/rec/conf/sbac-pad/2017.html</v>
      </c>
      <c r="J34" s="60" t="str">
        <f>IFERROR(__xludf.DUMMYFUNCTION("""COMPUTED_VALUE"""),"https://sol.sbc.org.br/index.php/sbac-pad")</f>
        <v>https://sol.sbc.org.br/index.php/sbac-pad</v>
      </c>
    </row>
    <row r="35">
      <c r="A35" s="68" t="str">
        <f>IFERROR(__xludf.DUMMYFUNCTION("""COMPUTED_VALUE"""),"Eventos da Área")</f>
        <v>Eventos da Área</v>
      </c>
      <c r="B35" t="str">
        <f>IFERROR(__xludf.DUMMYFUNCTION("""COMPUTED_VALUE"""),"SBESC")</f>
        <v>SBESC</v>
      </c>
      <c r="C35" t="str">
        <f>IFERROR(__xludf.DUMMYFUNCTION("""COMPUTED_VALUE"""),"Brazilian Symposium on Computing Systems Engineering")</f>
        <v>Brazilian Symposium on Computing Systems Engineering</v>
      </c>
      <c r="D35">
        <f>IFERROR(__xludf.DUMMYFUNCTION("""COMPUTED_VALUE"""),9.0)</f>
        <v>9</v>
      </c>
      <c r="E35" s="59" t="str">
        <f>IFERROR(__xludf.DUMMYFUNCTION("""COMPUTED_VALUE"""),"https://scholar.google.com.br/citations?hl=en&amp;view_op=list_hcore&amp;venue=EA9qTFRFeoUJ.2024")</f>
        <v>https://scholar.google.com.br/citations?hl=en&amp;view_op=list_hcore&amp;venue=EA9qTFRFeoUJ.2024</v>
      </c>
      <c r="I35" s="60" t="str">
        <f>IFERROR(__xludf.DUMMYFUNCTION("""COMPUTED_VALUE"""),"https://dblp.org/db/conf/sbesc/index.html")</f>
        <v>https://dblp.org/db/conf/sbesc/index.html</v>
      </c>
      <c r="J35" s="60" t="str">
        <f>IFERROR(__xludf.DUMMYFUNCTION("""COMPUTED_VALUE"""),"https://sol.sbc.org.br/index.php/sbesc")</f>
        <v>https://sol.sbc.org.br/index.php/sbesc</v>
      </c>
    </row>
    <row r="36">
      <c r="A36" s="68" t="str">
        <f>IFERROR(__xludf.DUMMYFUNCTION("""COMPUTED_VALUE"""),"Eventos da Área")</f>
        <v>Eventos da Área</v>
      </c>
      <c r="B36" t="str">
        <f>IFERROR(__xludf.DUMMYFUNCTION("""COMPUTED_VALUE"""),"SBRC")</f>
        <v>SBRC</v>
      </c>
      <c r="C36" t="str">
        <f>IFERROR(__xludf.DUMMYFUNCTION("""COMPUTED_VALUE"""),"Simpósio Brasileiro de Redes de Computadores e Sistemas Distribuídos")</f>
        <v>Simpósio Brasileiro de Redes de Computadores e Sistemas Distribuídos</v>
      </c>
      <c r="D36">
        <f>IFERROR(__xludf.DUMMYFUNCTION("""COMPUTED_VALUE"""),7.0)</f>
        <v>7</v>
      </c>
      <c r="E36" s="59" t="str">
        <f>IFERROR(__xludf.DUMMYFUNCTION("""COMPUTED_VALUE"""),"https://scholar.google.com.br/citations?hl=en&amp;view_op=list_hcore&amp;venue=3vnP2ksW2eAJ.2024")</f>
        <v>https://scholar.google.com.br/citations?hl=en&amp;view_op=list_hcore&amp;venue=3vnP2ksW2eAJ.2024</v>
      </c>
      <c r="I36" s="60" t="str">
        <f>IFERROR(__xludf.DUMMYFUNCTION("""COMPUTED_VALUE"""),"https://dblp.org/db/conf/sbrc/index.html")</f>
        <v>https://dblp.org/db/conf/sbrc/index.html</v>
      </c>
      <c r="J36" s="60" t="str">
        <f>IFERROR(__xludf.DUMMYFUNCTION("""COMPUTED_VALUE"""),"https://sol.sbc.org.br/index.php/sbrc")</f>
        <v>https://sol.sbc.org.br/index.php/sbrc</v>
      </c>
    </row>
    <row r="37">
      <c r="A37" s="68" t="str">
        <f>IFERROR(__xludf.DUMMYFUNCTION("""COMPUTED_VALUE"""),"Eventos da Área")</f>
        <v>Eventos da Área</v>
      </c>
      <c r="B37" t="str">
        <f>IFERROR(__xludf.DUMMYFUNCTION("""COMPUTED_VALUE"""),"SBSeg")</f>
        <v>SBSeg</v>
      </c>
      <c r="C37" t="str">
        <f>IFERROR(__xludf.DUMMYFUNCTION("""COMPUTED_VALUE"""),"Simpósio Brasileiro de Segurança da Informação e de Sistemas Computacionais")</f>
        <v>Simpósio Brasileiro de Segurança da Informação e de Sistemas Computacionais</v>
      </c>
      <c r="D37">
        <f>IFERROR(__xludf.DUMMYFUNCTION("""COMPUTED_VALUE"""),4.0)</f>
        <v>4</v>
      </c>
      <c r="E37" s="59" t="str">
        <f>IFERROR(__xludf.DUMMYFUNCTION("""COMPUTED_VALUE"""),"https://scholar.google.com.br/citations?hl=en&amp;view_op=list_hcore&amp;venue=Dsyl66B8iM0J.2024")</f>
        <v>https://scholar.google.com.br/citations?hl=en&amp;view_op=list_hcore&amp;venue=Dsyl66B8iM0J.2024</v>
      </c>
      <c r="I37" s="60" t="str">
        <f>IFERROR(__xludf.DUMMYFUNCTION("""COMPUTED_VALUE"""),"https://dblp.org/db/conf/sbsi/index.html")</f>
        <v>https://dblp.org/db/conf/sbsi/index.html</v>
      </c>
      <c r="J37" s="60" t="str">
        <f>IFERROR(__xludf.DUMMYFUNCTION("""COMPUTED_VALUE"""),"https://sol.sbc.org.br/index.php/sbseg")</f>
        <v>https://sol.sbc.org.br/index.php/sbseg</v>
      </c>
    </row>
    <row r="38">
      <c r="A38" s="68" t="str">
        <f>IFERROR(__xludf.DUMMYFUNCTION("""COMPUTED_VALUE"""),"Eventos da Área")</f>
        <v>Eventos da Área</v>
      </c>
      <c r="B38" t="str">
        <f>IFERROR(__xludf.DUMMYFUNCTION("""COMPUTED_VALUE"""),"USENIX")</f>
        <v>USENIX</v>
      </c>
      <c r="C38" t="str">
        <f>IFERROR(__xludf.DUMMYFUNCTION("""COMPUTED_VALUE"""),"USENIX Annual Technical Conference")</f>
        <v>USENIX Annual Technical Conference</v>
      </c>
      <c r="D38">
        <f>IFERROR(__xludf.DUMMYFUNCTION("""COMPUTED_VALUE"""),55.0)</f>
        <v>55</v>
      </c>
      <c r="E38" s="59" t="str">
        <f>IFERROR(__xludf.DUMMYFUNCTION("""COMPUTED_VALUE"""),"https://scholar.google.com.br/citations?hl=en&amp;view_op=list_hcore&amp;venue=UoM6MOnWKE8J.2024")</f>
        <v>https://scholar.google.com.br/citations?hl=en&amp;view_op=list_hcore&amp;venue=UoM6MOnWKE8J.2024</v>
      </c>
      <c r="I38" s="60" t="str">
        <f>IFERROR(__xludf.DUMMYFUNCTION("""COMPUTED_VALUE"""),"https://dblp.org/db/conf/usenix/index.html")</f>
        <v>https://dblp.org/db/conf/usenix/index.html</v>
      </c>
    </row>
    <row r="39">
      <c r="A39" s="68" t="str">
        <f>IFERROR(__xludf.DUMMYFUNCTION("""COMPUTED_VALUE"""),"Eventos da Área")</f>
        <v>Eventos da Área</v>
      </c>
      <c r="B39" t="str">
        <f>IFERROR(__xludf.DUMMYFUNCTION("""COMPUTED_VALUE"""),"WSCAD")</f>
        <v>WSCAD</v>
      </c>
      <c r="C39" t="str">
        <f>IFERROR(__xludf.DUMMYFUNCTION("""COMPUTED_VALUE"""),"Simpósio em Sistemas Computacionais de Alto Desempenho")</f>
        <v>Simpósio em Sistemas Computacionais de Alto Desempenho</v>
      </c>
      <c r="D39">
        <f>IFERROR(__xludf.DUMMYFUNCTION("""COMPUTED_VALUE"""),5.0)</f>
        <v>5</v>
      </c>
      <c r="E39" s="60" t="str">
        <f>IFERROR(__xludf.DUMMYFUNCTION("""COMPUTED_VALUE"""),"https://scholar.google.com.br/citations?hl=en&amp;view_op=list_hcore&amp;venue=MZeKedZe-5YJ.2024")</f>
        <v>https://scholar.google.com.br/citations?hl=en&amp;view_op=list_hcore&amp;venue=MZeKedZe-5YJ.2024</v>
      </c>
      <c r="F39" t="str">
        <f>IFERROR(__xludf.DUMMYFUNCTION("""COMPUTED_VALUE"""),"SSCAD")</f>
        <v>SSCAD</v>
      </c>
      <c r="J39" s="60" t="str">
        <f>IFERROR(__xludf.DUMMYFUNCTION("""COMPUTED_VALUE"""),"https://sol.sbc.org.br/index.php/sscad")</f>
        <v>https://sol.sbc.org.br/index.php/sscad</v>
      </c>
    </row>
    <row r="40">
      <c r="A40" s="68" t="str">
        <f>IFERROR(__xludf.DUMMYFUNCTION("""COMPUTED_VALUE"""),"Eventos da Área")</f>
        <v>Eventos da Área</v>
      </c>
      <c r="B40" t="str">
        <f>IFERROR(__xludf.DUMMYFUNCTION("""COMPUTED_VALUE"""),"WTF")</f>
        <v>WTF</v>
      </c>
      <c r="C40" t="str">
        <f>IFERROR(__xludf.DUMMYFUNCTION("""COMPUTED_VALUE"""),"Workshop de Testes e Tolerância a Falhas")</f>
        <v>Workshop de Testes e Tolerância a Falhas</v>
      </c>
      <c r="D40">
        <f>IFERROR(__xludf.DUMMYFUNCTION("""COMPUTED_VALUE"""),2.0)</f>
        <v>2</v>
      </c>
      <c r="E40" t="str">
        <f>IFERROR(__xludf.DUMMYFUNCTION("""COMPUTED_VALUE"""),"Não encontrei no scholar (Edson)")</f>
        <v>Não encontrei no scholar (Edson)</v>
      </c>
      <c r="J40" s="60" t="str">
        <f>IFERROR(__xludf.DUMMYFUNCTION("""COMPUTED_VALUE"""),"https://sol.sbc.org.br/index.php/wtf")</f>
        <v>https://sol.sbc.org.br/index.php/wtf</v>
      </c>
    </row>
    <row r="41">
      <c r="A41" s="68" t="str">
        <f>IFERROR(__xludf.DUMMYFUNCTION("""COMPUTED_VALUE"""),"Eventos da Área")</f>
        <v>Eventos da Área</v>
      </c>
      <c r="B41" t="str">
        <f>IFERROR(__xludf.DUMMYFUNCTION("""COMPUTED_VALUE"""),"IEEE Blockchain")</f>
        <v>IEEE Blockchain</v>
      </c>
      <c r="C41" t="str">
        <f>IFERROR(__xludf.DUMMYFUNCTION("""COMPUTED_VALUE"""),"IEEE International Conference on Blockchain")</f>
        <v>IEEE International Conference on Blockchain</v>
      </c>
      <c r="D41">
        <f>IFERROR(__xludf.DUMMYFUNCTION("""COMPUTED_VALUE"""),42.0)</f>
        <v>42</v>
      </c>
      <c r="E41" s="60" t="str">
        <f>IFERROR(__xludf.DUMMYFUNCTION("""COMPUTED_VALUE"""),"https://scholar.google.com.br/citations?hl=en&amp;view_op=list_hcore&amp;venue=DGN3r9u7HNQJ.2024")</f>
        <v>https://scholar.google.com.br/citations?hl=en&amp;view_op=list_hcore&amp;venue=DGN3r9u7HNQJ.2024</v>
      </c>
      <c r="I41" s="60" t="str">
        <f>IFERROR(__xludf.DUMMYFUNCTION("""COMPUTED_VALUE"""),"https://dblp.org/db/conf/blockchain2/index.html")</f>
        <v>https://dblp.org/db/conf/blockchain2/index.html</v>
      </c>
    </row>
    <row r="42">
      <c r="A42" s="68" t="str">
        <f>IFERROR(__xludf.DUMMYFUNCTION("""COMPUTED_VALUE"""),"Eventos da Área")</f>
        <v>Eventos da Área</v>
      </c>
      <c r="B42" t="str">
        <f>IFERROR(__xludf.DUMMYFUNCTION("""COMPUTED_VALUE"""),"ICBC")</f>
        <v>ICBC</v>
      </c>
      <c r="C42" t="str">
        <f>IFERROR(__xludf.DUMMYFUNCTION("""COMPUTED_VALUE"""),"EEE International Conference on Blockchain and Cryptocurrency")</f>
        <v>EEE International Conference on Blockchain and Cryptocurrency</v>
      </c>
      <c r="D42">
        <f>IFERROR(__xludf.DUMMYFUNCTION("""COMPUTED_VALUE"""),39.0)</f>
        <v>39</v>
      </c>
      <c r="E42" s="60" t="str">
        <f>IFERROR(__xludf.DUMMYFUNCTION("""COMPUTED_VALUE"""),"https://scholar.google.com.br/citations?hl=en&amp;view_op=list_hcore&amp;venue=Hh3XGFymILkJ.2024")</f>
        <v>https://scholar.google.com.br/citations?hl=en&amp;view_op=list_hcore&amp;venue=Hh3XGFymILkJ.2024</v>
      </c>
      <c r="I42" s="60" t="str">
        <f>IFERROR(__xludf.DUMMYFUNCTION("""COMPUTED_VALUE"""),"https://dblp.org/db/conf/icbc2/index.html")</f>
        <v>https://dblp.org/db/conf/icbc2/index.html</v>
      </c>
    </row>
    <row r="43">
      <c r="A43" s="68" t="str">
        <f>IFERROR(__xludf.DUMMYFUNCTION("""COMPUTED_VALUE"""),"Eventos da Área")</f>
        <v>Eventos da Área</v>
      </c>
      <c r="B43" t="str">
        <f>IFERROR(__xludf.DUMMYFUNCTION("""COMPUTED_VALUE"""),"ICBCT")</f>
        <v>ICBCT</v>
      </c>
      <c r="C43" t="str">
        <f>IFERROR(__xludf.DUMMYFUNCTION("""COMPUTED_VALUE"""),"Internacional Conference on Blockchain Technology")</f>
        <v>Internacional Conference on Blockchain Technology</v>
      </c>
      <c r="D43">
        <f>IFERROR(__xludf.DUMMYFUNCTION("""COMPUTED_VALUE"""),15.0)</f>
        <v>15</v>
      </c>
      <c r="E43" s="60" t="str">
        <f>IFERROR(__xludf.DUMMYFUNCTION("""COMPUTED_VALUE"""),"https://scholar.google.com.br/citations?hl=en&amp;view_op=list_hcore&amp;venue=CZ0MOLo1dE8J.2024")</f>
        <v>https://scholar.google.com.br/citations?hl=en&amp;view_op=list_hcore&amp;venue=CZ0MOLo1dE8J.2024</v>
      </c>
      <c r="I43" s="60" t="str">
        <f>IFERROR(__xludf.DUMMYFUNCTION("""COMPUTED_VALUE"""),"https://dblp.org/db/conf/icbct/index.html")</f>
        <v>https://dblp.org/db/conf/icbct/index.html</v>
      </c>
    </row>
    <row r="44">
      <c r="A44" s="68" t="str">
        <f>IFERROR(__xludf.DUMMYFUNCTION("""COMPUTED_VALUE"""),"Eventos da Área")</f>
        <v>Eventos da Área</v>
      </c>
    </row>
    <row r="45">
      <c r="A45" s="68" t="str">
        <f>IFERROR(__xludf.DUMMYFUNCTION("""COMPUTED_VALUE"""),"Eventos da Área")</f>
        <v>Eventos da Área</v>
      </c>
    </row>
    <row r="46">
      <c r="A46" s="68" t="str">
        <f>IFERROR(__xludf.DUMMYFUNCTION("""COMPUTED_VALUE"""),"Eventos da Área")</f>
        <v>Eventos da Área</v>
      </c>
    </row>
    <row r="47">
      <c r="A47" s="68" t="str">
        <f>IFERROR(__xludf.DUMMYFUNCTION("""COMPUTED_VALUE"""),"Eventos da Área")</f>
        <v>Eventos da Área</v>
      </c>
    </row>
    <row r="48">
      <c r="A48" s="68" t="str">
        <f>IFERROR(__xludf.DUMMYFUNCTION("""COMPUTED_VALUE"""),"Eventos da Área")</f>
        <v>Eventos da Área</v>
      </c>
    </row>
    <row r="49">
      <c r="A49" s="68" t="str">
        <f>IFERROR(__xludf.DUMMYFUNCTION("""COMPUTED_VALUE"""),"Eventos da Área")</f>
        <v>Eventos da Área</v>
      </c>
    </row>
    <row r="50">
      <c r="A50" s="68" t="str">
        <f>IFERROR(__xludf.DUMMYFUNCTION("""COMPUTED_VALUE"""),"Eventos da Área")</f>
        <v>Eventos da Área</v>
      </c>
    </row>
    <row r="51">
      <c r="A51" s="68" t="str">
        <f>IFERROR(__xludf.DUMMYFUNCTION("""COMPUTED_VALUE"""),"Eventos da Área")</f>
        <v>Eventos da Área</v>
      </c>
    </row>
    <row r="52">
      <c r="A52" s="68" t="str">
        <f>IFERROR(__xludf.DUMMYFUNCTION("""COMPUTED_VALUE"""),"Eventos da Área")</f>
        <v>Eventos da Área</v>
      </c>
    </row>
    <row r="53">
      <c r="A53" s="68" t="str">
        <f>IFERROR(__xludf.DUMMYFUNCTION("""COMPUTED_VALUE"""),"Eventos da Área")</f>
        <v>Eventos da Área</v>
      </c>
    </row>
    <row r="54">
      <c r="A54" s="68" t="str">
        <f>IFERROR(__xludf.DUMMYFUNCTION("""COMPUTED_VALUE"""),"Eventos da Área")</f>
        <v>Eventos da Área</v>
      </c>
    </row>
    <row r="55">
      <c r="A55" s="68" t="str">
        <f>IFERROR(__xludf.DUMMYFUNCTION("""COMPUTED_VALUE"""),"Eventos da Área")</f>
        <v>Eventos da Área</v>
      </c>
    </row>
    <row r="56">
      <c r="A56" s="68" t="str">
        <f>IFERROR(__xludf.DUMMYFUNCTION("""COMPUTED_VALUE"""),"Eventos da Área")</f>
        <v>Eventos da Área</v>
      </c>
    </row>
    <row r="57">
      <c r="A57" s="68" t="str">
        <f>IFERROR(__xludf.DUMMYFUNCTION("""COMPUTED_VALUE"""),"Eventos da Área")</f>
        <v>Eventos da Área</v>
      </c>
    </row>
    <row r="58">
      <c r="A58" s="68" t="str">
        <f>IFERROR(__xludf.DUMMYFUNCTION("""COMPUTED_VALUE"""),"Eventos da Área")</f>
        <v>Eventos da Área</v>
      </c>
    </row>
    <row r="59">
      <c r="A59" s="68" t="str">
        <f>IFERROR(__xludf.DUMMYFUNCTION("""COMPUTED_VALUE"""),"Eventos da Área")</f>
        <v>Eventos da Área</v>
      </c>
    </row>
    <row r="60">
      <c r="A60" s="68" t="str">
        <f>IFERROR(__xludf.DUMMYFUNCTION("""COMPUTED_VALUE"""),"Eventos da Área")</f>
        <v>Eventos da Área</v>
      </c>
    </row>
    <row r="61">
      <c r="A61" s="68" t="str">
        <f>IFERROR(__xludf.DUMMYFUNCTION("""COMPUTED_VALUE"""),"Eventos da Área")</f>
        <v>Eventos da Área</v>
      </c>
    </row>
    <row r="62">
      <c r="A62" s="68" t="str">
        <f>IFERROR(__xludf.DUMMYFUNCTION("""COMPUTED_VALUE"""),"Eventos da Área")</f>
        <v>Eventos da Área</v>
      </c>
    </row>
    <row r="63">
      <c r="A63" s="68" t="str">
        <f>IFERROR(__xludf.DUMMYFUNCTION("""COMPUTED_VALUE"""),"Eventos da Área")</f>
        <v>Eventos da Área</v>
      </c>
    </row>
    <row r="64">
      <c r="A64" s="68" t="str">
        <f>IFERROR(__xludf.DUMMYFUNCTION("""COMPUTED_VALUE"""),"Eventos da Área")</f>
        <v>Eventos da Área</v>
      </c>
    </row>
    <row r="65">
      <c r="A65" s="68" t="str">
        <f>IFERROR(__xludf.DUMMYFUNCTION("""COMPUTED_VALUE"""),"Eventos da Área")</f>
        <v>Eventos da Área</v>
      </c>
    </row>
    <row r="66">
      <c r="A66" s="68" t="str">
        <f>IFERROR(__xludf.DUMMYFUNCTION("""COMPUTED_VALUE"""),"Eventos da Área")</f>
        <v>Eventos da Área</v>
      </c>
    </row>
    <row r="67">
      <c r="A67" s="68" t="str">
        <f>IFERROR(__xludf.DUMMYFUNCTION("""COMPUTED_VALUE"""),"Eventos da Área")</f>
        <v>Eventos da Área</v>
      </c>
    </row>
    <row r="68">
      <c r="A68" s="68" t="str">
        <f>IFERROR(__xludf.DUMMYFUNCTION("""COMPUTED_VALUE"""),"Eventos da Área")</f>
        <v>Eventos da Área</v>
      </c>
    </row>
    <row r="69">
      <c r="A69" s="68" t="str">
        <f>IFERROR(__xludf.DUMMYFUNCTION("""COMPUTED_VALUE"""),"Eventos da Área")</f>
        <v>Eventos da Área</v>
      </c>
    </row>
    <row r="70">
      <c r="A70" s="68" t="str">
        <f>IFERROR(__xludf.DUMMYFUNCTION("""COMPUTED_VALUE"""),"Eventos da Área")</f>
        <v>Eventos da Área</v>
      </c>
    </row>
    <row r="71">
      <c r="A71" s="68" t="str">
        <f>IFERROR(__xludf.DUMMYFUNCTION("""COMPUTED_VALUE"""),"Eventos da Área")</f>
        <v>Eventos da Área</v>
      </c>
    </row>
    <row r="72">
      <c r="A72" s="68" t="str">
        <f>IFERROR(__xludf.DUMMYFUNCTION("""COMPUTED_VALUE"""),"Eventos da Área")</f>
        <v>Eventos da Área</v>
      </c>
    </row>
    <row r="73">
      <c r="A73" s="68" t="str">
        <f>IFERROR(__xludf.DUMMYFUNCTION("""COMPUTED_VALUE"""),"Eventos da Área")</f>
        <v>Eventos da Área</v>
      </c>
    </row>
    <row r="74">
      <c r="A74" s="68" t="str">
        <f>IFERROR(__xludf.DUMMYFUNCTION("""COMPUTED_VALUE"""),"Eventos da Área")</f>
        <v>Eventos da Área</v>
      </c>
    </row>
    <row r="75">
      <c r="A75" s="68" t="str">
        <f>IFERROR(__xludf.DUMMYFUNCTION("""COMPUTED_VALUE"""),"Eventos da Área")</f>
        <v>Eventos da Área</v>
      </c>
    </row>
    <row r="76">
      <c r="A76" s="68" t="str">
        <f>IFERROR(__xludf.DUMMYFUNCTION("""COMPUTED_VALUE"""),"Eventos da Área")</f>
        <v>Eventos da Área</v>
      </c>
    </row>
    <row r="77">
      <c r="A77" s="68" t="str">
        <f>IFERROR(__xludf.DUMMYFUNCTION("""COMPUTED_VALUE"""),"Eventos da Área")</f>
        <v>Eventos da Área</v>
      </c>
    </row>
    <row r="78">
      <c r="A78" s="68" t="str">
        <f>IFERROR(__xludf.DUMMYFUNCTION("""COMPUTED_VALUE"""),"Eventos da Área")</f>
        <v>Eventos da Área</v>
      </c>
    </row>
    <row r="79">
      <c r="A79" s="68" t="str">
        <f>IFERROR(__xludf.DUMMYFUNCTION("""COMPUTED_VALUE"""),"Eventos da Área")</f>
        <v>Eventos da Área</v>
      </c>
    </row>
    <row r="80">
      <c r="A80" s="68" t="str">
        <f>IFERROR(__xludf.DUMMYFUNCTION("""COMPUTED_VALUE"""),"Eventos da Área")</f>
        <v>Eventos da Área</v>
      </c>
    </row>
    <row r="81">
      <c r="A81" s="68" t="str">
        <f>IFERROR(__xludf.DUMMYFUNCTION("""COMPUTED_VALUE"""),"Eventos da Área")</f>
        <v>Eventos da Área</v>
      </c>
    </row>
    <row r="82">
      <c r="A82" s="68" t="str">
        <f>IFERROR(__xludf.DUMMYFUNCTION("""COMPUTED_VALUE"""),"Eventos da Área")</f>
        <v>Eventos da Área</v>
      </c>
    </row>
    <row r="83">
      <c r="A83" s="68" t="str">
        <f>IFERROR(__xludf.DUMMYFUNCTION("""COMPUTED_VALUE"""),"Eventos da Área")</f>
        <v>Eventos da Área</v>
      </c>
    </row>
    <row r="84">
      <c r="A84" s="68" t="str">
        <f>IFERROR(__xludf.DUMMYFUNCTION("""COMPUTED_VALUE"""),"Eventos da Área")</f>
        <v>Eventos da Área</v>
      </c>
    </row>
    <row r="85">
      <c r="A85" s="68" t="str">
        <f>IFERROR(__xludf.DUMMYFUNCTION("""COMPUTED_VALUE"""),"Eventos da Área")</f>
        <v>Eventos da Área</v>
      </c>
    </row>
    <row r="86">
      <c r="A86" s="68" t="str">
        <f>IFERROR(__xludf.DUMMYFUNCTION("""COMPUTED_VALUE"""),"Eventos da Área")</f>
        <v>Eventos da Área</v>
      </c>
    </row>
    <row r="87">
      <c r="A87" s="68" t="str">
        <f>IFERROR(__xludf.DUMMYFUNCTION("""COMPUTED_VALUE"""),"Eventos da Área")</f>
        <v>Eventos da Área</v>
      </c>
    </row>
    <row r="88">
      <c r="A88" s="68" t="str">
        <f>IFERROR(__xludf.DUMMYFUNCTION("""COMPUTED_VALUE"""),"Eventos da Área")</f>
        <v>Eventos da Área</v>
      </c>
    </row>
    <row r="89">
      <c r="A89" s="68" t="str">
        <f>IFERROR(__xludf.DUMMYFUNCTION("""COMPUTED_VALUE"""),"Eventos da Área")</f>
        <v>Eventos da Área</v>
      </c>
    </row>
    <row r="90">
      <c r="A90" s="68" t="str">
        <f>IFERROR(__xludf.DUMMYFUNCTION("""COMPUTED_VALUE"""),"Eventos da Área")</f>
        <v>Eventos da Área</v>
      </c>
    </row>
    <row r="91">
      <c r="A91" s="68" t="str">
        <f>IFERROR(__xludf.DUMMYFUNCTION("""COMPUTED_VALUE"""),"Eventos da Área")</f>
        <v>Eventos da Área</v>
      </c>
    </row>
    <row r="92">
      <c r="A92" s="68" t="str">
        <f>IFERROR(__xludf.DUMMYFUNCTION("""COMPUTED_VALUE"""),"Eventos da Área")</f>
        <v>Eventos da Área</v>
      </c>
    </row>
    <row r="93">
      <c r="A93" s="68" t="str">
        <f>IFERROR(__xludf.DUMMYFUNCTION("""COMPUTED_VALUE"""),"Eventos da Área")</f>
        <v>Eventos da Área</v>
      </c>
    </row>
    <row r="94">
      <c r="A94" s="68" t="str">
        <f>IFERROR(__xludf.DUMMYFUNCTION("""COMPUTED_VALUE"""),"Eventos da Área")</f>
        <v>Eventos da Área</v>
      </c>
    </row>
    <row r="95">
      <c r="A95" s="68" t="str">
        <f>IFERROR(__xludf.DUMMYFUNCTION("""COMPUTED_VALUE"""),"Eventos da Área")</f>
        <v>Eventos da Área</v>
      </c>
    </row>
    <row r="96">
      <c r="A96" s="68" t="str">
        <f>IFERROR(__xludf.DUMMYFUNCTION("""COMPUTED_VALUE"""),"Eventos da Área")</f>
        <v>Eventos da Área</v>
      </c>
    </row>
    <row r="97">
      <c r="A97" s="68" t="str">
        <f>IFERROR(__xludf.DUMMYFUNCTION("""COMPUTED_VALUE"""),"Eventos da Área")</f>
        <v>Eventos da Área</v>
      </c>
    </row>
    <row r="98">
      <c r="A98" s="68" t="str">
        <f>IFERROR(__xludf.DUMMYFUNCTION("""COMPUTED_VALUE"""),"Eventos da Área")</f>
        <v>Eventos da Área</v>
      </c>
    </row>
    <row r="99">
      <c r="A99" s="68" t="str">
        <f>IFERROR(__xludf.DUMMYFUNCTION("""COMPUTED_VALUE"""),"Eventos da Área")</f>
        <v>Eventos da Área</v>
      </c>
    </row>
    <row r="100">
      <c r="A100" s="68" t="str">
        <f>IFERROR(__xludf.DUMMYFUNCTION("""COMPUTED_VALUE"""),"Eventos da Área")</f>
        <v>Eventos da Área</v>
      </c>
    </row>
    <row r="101">
      <c r="A101" s="68"/>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E10"/>
    <hyperlink r:id="rId18" ref="I10"/>
    <hyperlink r:id="rId19" ref="E11"/>
    <hyperlink r:id="rId20" ref="I11"/>
    <hyperlink r:id="rId21" ref="E12"/>
    <hyperlink r:id="rId22" ref="I12"/>
    <hyperlink r:id="rId23" ref="E13"/>
    <hyperlink r:id="rId24" ref="I13"/>
    <hyperlink r:id="rId25" ref="E14"/>
    <hyperlink r:id="rId26" ref="I14"/>
    <hyperlink r:id="rId27" ref="E15"/>
    <hyperlink r:id="rId28" ref="I15"/>
    <hyperlink r:id="rId29" ref="E16"/>
    <hyperlink r:id="rId30" ref="I16"/>
    <hyperlink r:id="rId31" ref="E17"/>
    <hyperlink r:id="rId32" ref="I17"/>
    <hyperlink r:id="rId33" ref="J17"/>
    <hyperlink r:id="rId34" ref="E18"/>
    <hyperlink r:id="rId35" ref="I18"/>
    <hyperlink r:id="rId36" ref="E19"/>
    <hyperlink r:id="rId37" ref="I19"/>
    <hyperlink r:id="rId38" ref="I20"/>
    <hyperlink r:id="rId39" ref="J20"/>
    <hyperlink r:id="rId40" ref="E21"/>
    <hyperlink r:id="rId41" ref="I21"/>
    <hyperlink r:id="rId42" ref="E22"/>
    <hyperlink r:id="rId43" ref="I22"/>
    <hyperlink r:id="rId44" ref="E23"/>
    <hyperlink r:id="rId45" ref="I23"/>
    <hyperlink r:id="rId46" ref="E24"/>
    <hyperlink r:id="rId47" ref="I24"/>
    <hyperlink r:id="rId48" ref="E25"/>
    <hyperlink r:id="rId49" ref="I25"/>
    <hyperlink r:id="rId50" ref="E26"/>
    <hyperlink r:id="rId51" ref="I26"/>
    <hyperlink r:id="rId52" ref="E27"/>
    <hyperlink r:id="rId53" ref="I27"/>
    <hyperlink r:id="rId54" ref="E28"/>
    <hyperlink r:id="rId55" ref="I28"/>
    <hyperlink r:id="rId56" ref="E29"/>
    <hyperlink r:id="rId57" ref="I29"/>
    <hyperlink r:id="rId58" ref="E30"/>
    <hyperlink r:id="rId59" ref="I30"/>
    <hyperlink r:id="rId60" ref="E31"/>
    <hyperlink r:id="rId61" ref="I31"/>
    <hyperlink r:id="rId62" ref="E32"/>
    <hyperlink r:id="rId63" ref="I32"/>
    <hyperlink r:id="rId64" ref="E33"/>
    <hyperlink r:id="rId65" ref="I33"/>
    <hyperlink r:id="rId66" ref="E34"/>
    <hyperlink r:id="rId67" ref="I34"/>
    <hyperlink r:id="rId68" ref="J34"/>
    <hyperlink r:id="rId69" ref="E35"/>
    <hyperlink r:id="rId70" ref="I35"/>
    <hyperlink r:id="rId71" ref="J35"/>
    <hyperlink r:id="rId72" ref="E36"/>
    <hyperlink r:id="rId73" ref="I36"/>
    <hyperlink r:id="rId74" ref="J36"/>
    <hyperlink r:id="rId75" ref="E37"/>
    <hyperlink r:id="rId76" ref="I37"/>
    <hyperlink r:id="rId77" ref="J37"/>
    <hyperlink r:id="rId78" ref="E38"/>
    <hyperlink r:id="rId79" ref="I38"/>
    <hyperlink r:id="rId80" ref="E39"/>
    <hyperlink r:id="rId81" ref="J39"/>
    <hyperlink r:id="rId82" ref="J40"/>
    <hyperlink r:id="rId83" ref="E41"/>
    <hyperlink r:id="rId84" ref="I41"/>
    <hyperlink r:id="rId85" ref="E42"/>
    <hyperlink r:id="rId86" ref="I42"/>
    <hyperlink r:id="rId87" ref="E43"/>
    <hyperlink r:id="rId88" ref="I43"/>
  </hyperlinks>
  <drawing r:id="rId89"/>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66.13"/>
    <col customWidth="1" min="5" max="5" width="71.38"/>
    <col customWidth="1" min="7" max="7" width="27.0"/>
    <col customWidth="1" min="8" max="8" width="25.25"/>
    <col customWidth="1" min="9" max="9" width="38.38"/>
    <col customWidth="1" min="10" max="10" width="31.38"/>
  </cols>
  <sheetData>
    <row r="1">
      <c r="A1" s="1" t="str">
        <f>IFERROR(__xludf.DUMMYFUNCTION("importrange(""https://docs.google.com/spreadsheets/d/1CFVSmtWo3Zvm-QyStFFukDrWmo1b2qirmsCc7hRAqok/edit#gid=342141165"",""CE-ES!A1:J150"")"),"TOP")</f>
        <v>TOP</v>
      </c>
      <c r="B1" s="1" t="str">
        <f>IFERROR(__xludf.DUMMYFUNCTION("""COMPUTED_VALUE"""),"SIGLA")</f>
        <v>SIGLA</v>
      </c>
      <c r="C1" s="1" t="str">
        <f>IFERROR(__xludf.DUMMYFUNCTION("""COMPUTED_VALUE"""),"NOME")</f>
        <v>NOME</v>
      </c>
      <c r="D1" s="130" t="str">
        <f>IFERROR(__xludf.DUMMYFUNCTION("""COMPUTED_VALUE"""),"H5/h-index")</f>
        <v>H5/h-index</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58" t="str">
        <f>IFERROR(__xludf.DUMMYFUNCTION("""COMPUTED_VALUE"""),"Top 10")</f>
        <v>Top 10</v>
      </c>
      <c r="B2" s="131" t="str">
        <f>IFERROR(__xludf.DUMMYFUNCTION("""COMPUTED_VALUE"""),"ICSE")</f>
        <v>ICSE</v>
      </c>
      <c r="C2" s="131" t="str">
        <f>IFERROR(__xludf.DUMMYFUNCTION("""COMPUTED_VALUE"""),"International Conference on Software Engineering")</f>
        <v>International Conference on Software Engineering</v>
      </c>
      <c r="D2" s="132">
        <f>IFERROR(__xludf.DUMMYFUNCTION("""COMPUTED_VALUE"""),84.0)</f>
        <v>84</v>
      </c>
      <c r="E2" s="59" t="str">
        <f>IFERROR(__xludf.DUMMYFUNCTION("""COMPUTED_VALUE"""),"https://scholar.google.com/citations?hl=en&amp;view_op=list_hcore&amp;venue=vtDF2hFAQ-cJ.2024")</f>
        <v>https://scholar.google.com/citations?hl=en&amp;view_op=list_hcore&amp;venue=vtDF2hFAQ-cJ.2024</v>
      </c>
      <c r="F2" s="57"/>
      <c r="H2" t="str">
        <f>IFERROR(__xludf.DUMMYFUNCTION("""COMPUTED_VALUE"""),"ACM/IEEE International Conference on Software Engineering")</f>
        <v>ACM/IEEE International Conference on Software Engineering</v>
      </c>
      <c r="I2" s="60" t="str">
        <f>IFERROR(__xludf.DUMMYFUNCTION("""COMPUTED_VALUE"""),"https://dblp.org/db/conf/icse/index.html")</f>
        <v>https://dblp.org/db/conf/icse/index.html</v>
      </c>
    </row>
    <row r="3">
      <c r="A3" s="58" t="str">
        <f>IFERROR(__xludf.DUMMYFUNCTION("""COMPUTED_VALUE"""),"Top 10")</f>
        <v>Top 10</v>
      </c>
      <c r="B3" s="57" t="str">
        <f>IFERROR(__xludf.DUMMYFUNCTION("""COMPUTED_VALUE"""),"FSE/ESEC")</f>
        <v>FSE/ESEC</v>
      </c>
      <c r="C3" s="57" t="str">
        <f>IFERROR(__xludf.DUMMYFUNCTION("""COMPUTED_VALUE"""),"Joint Meeting on European Software Engineering Conference and Foundations of Software Engineering")</f>
        <v>Joint Meeting on European Software Engineering Conference and Foundations of Software Engineering</v>
      </c>
      <c r="D3" s="133">
        <f>IFERROR(__xludf.DUMMYFUNCTION("""COMPUTED_VALUE"""),62.0)</f>
        <v>62</v>
      </c>
      <c r="E3" s="59" t="str">
        <f>IFERROR(__xludf.DUMMYFUNCTION("""COMPUTED_VALUE"""),"https://scholar.google.com/citations?hl=en&amp;view_op=list_hcore&amp;venue=CwfZO4J4a4UJ.2024")</f>
        <v>https://scholar.google.com/citations?hl=en&amp;view_op=list_hcore&amp;venue=CwfZO4J4a4UJ.2024</v>
      </c>
      <c r="F3" s="57" t="str">
        <f>IFERROR(__xludf.DUMMYFUNCTION("""COMPUTED_VALUE"""),"FSE")</f>
        <v>FSE</v>
      </c>
      <c r="G3" t="str">
        <f>IFERROR(__xludf.DUMMYFUNCTION("""COMPUTED_VALUE"""),"ACM International Conference on the Foundations of Software Engineering (FSE) ")</f>
        <v>ACM International Conference on the Foundations of Software Engineering (FSE) </v>
      </c>
      <c r="H3" t="str">
        <f>IFERROR(__xludf.DUMMYFUNCTION("""COMPUTED_VALUE"""),"ACM SIGSOFT International Symposium on Foundations of Software Engineering")</f>
        <v>ACM SIGSOFT International Symposium on Foundations of Software Engineering</v>
      </c>
      <c r="I3" s="60" t="str">
        <f>IFERROR(__xludf.DUMMYFUNCTION("""COMPUTED_VALUE"""),"https://dblp.org/db/conf/esec/index.html")</f>
        <v>https://dblp.org/db/conf/esec/index.html</v>
      </c>
    </row>
    <row r="4">
      <c r="A4" s="58" t="str">
        <f>IFERROR(__xludf.DUMMYFUNCTION("""COMPUTED_VALUE"""),"Top 10")</f>
        <v>Top 10</v>
      </c>
      <c r="B4" s="57" t="str">
        <f>IFERROR(__xludf.DUMMYFUNCTION("""COMPUTED_VALUE"""),"ASE")</f>
        <v>ASE</v>
      </c>
      <c r="C4" s="57" t="str">
        <f>IFERROR(__xludf.DUMMYFUNCTION("""COMPUTED_VALUE"""),"IEEE/ACM International Conference on Automated Software Engineering")</f>
        <v>IEEE/ACM International Conference on Automated Software Engineering</v>
      </c>
      <c r="D4" s="133">
        <f>IFERROR(__xludf.DUMMYFUNCTION("""COMPUTED_VALUE"""),54.0)</f>
        <v>54</v>
      </c>
      <c r="E4" s="59" t="str">
        <f>IFERROR(__xludf.DUMMYFUNCTION("""COMPUTED_VALUE"""),"https://scholar.google.com/citations?hl=en&amp;view_op=list_hcore&amp;venue=0NzweKVXmpkJ.2024")</f>
        <v>https://scholar.google.com/citations?hl=en&amp;view_op=list_hcore&amp;venue=0NzweKVXmpkJ.2024</v>
      </c>
      <c r="F4" s="57"/>
      <c r="H4" t="str">
        <f>IFERROR(__xludf.DUMMYFUNCTION("""COMPUTED_VALUE"""),"IEEE/ACM International Conference on Automated Software Engineering (ASE)")</f>
        <v>IEEE/ACM International Conference on Automated Software Engineering (ASE)</v>
      </c>
      <c r="I4" s="60" t="str">
        <f>IFERROR(__xludf.DUMMYFUNCTION("""COMPUTED_VALUE"""),"https://dblp.org/db/conf/kbse/index.html")</f>
        <v>https://dblp.org/db/conf/kbse/index.html</v>
      </c>
    </row>
    <row r="5">
      <c r="A5" s="58" t="str">
        <f>IFERROR(__xludf.DUMMYFUNCTION("""COMPUTED_VALUE"""),"Top 10")</f>
        <v>Top 10</v>
      </c>
      <c r="B5" s="57" t="str">
        <f>IFERROR(__xludf.DUMMYFUNCTION("""COMPUTED_VALUE"""),"MSR")</f>
        <v>MSR</v>
      </c>
      <c r="C5" s="57" t="str">
        <f>IFERROR(__xludf.DUMMYFUNCTION("""COMPUTED_VALUE"""),"Working Conference on Mining Software Repositories")</f>
        <v>Working Conference on Mining Software Repositories</v>
      </c>
      <c r="D5" s="133">
        <f>IFERROR(__xludf.DUMMYFUNCTION("""COMPUTED_VALUE"""),46.0)</f>
        <v>46</v>
      </c>
      <c r="E5" s="59" t="str">
        <f>IFERROR(__xludf.DUMMYFUNCTION("""COMPUTED_VALUE"""),"https://scholar.google.com/citations?hl=en&amp;view_op=list_hcore&amp;venue=XpB0TY0OXkoJ.2024")</f>
        <v>https://scholar.google.com/citations?hl=en&amp;view_op=list_hcore&amp;venue=XpB0TY0OXkoJ.2024</v>
      </c>
      <c r="F5" s="57"/>
      <c r="H5" t="str">
        <f>IFERROR(__xludf.DUMMYFUNCTION("""COMPUTED_VALUE"""),"Mining Software Repositories")</f>
        <v>Mining Software Repositories</v>
      </c>
      <c r="I5" s="60" t="str">
        <f>IFERROR(__xludf.DUMMYFUNCTION("""COMPUTED_VALUE"""),"https://dblp.org/db/conf/msr/index.html")</f>
        <v>https://dblp.org/db/conf/msr/index.html</v>
      </c>
    </row>
    <row r="6">
      <c r="A6" s="58" t="str">
        <f>IFERROR(__xludf.DUMMYFUNCTION("""COMPUTED_VALUE"""),"Top 10")</f>
        <v>Top 10</v>
      </c>
      <c r="B6" s="57" t="str">
        <f>IFERROR(__xludf.DUMMYFUNCTION("""COMPUTED_VALUE"""),"SANER")</f>
        <v>SANER</v>
      </c>
      <c r="C6" s="57" t="str">
        <f>IFERROR(__xludf.DUMMYFUNCTION("""COMPUTED_VALUE"""),"IEEE International Conference on Software Analysis, Evolution and Reengineering")</f>
        <v>IEEE International Conference on Software Analysis, Evolution and Reengineering</v>
      </c>
      <c r="D6" s="133">
        <f>IFERROR(__xludf.DUMMYFUNCTION("""COMPUTED_VALUE"""),39.0)</f>
        <v>39</v>
      </c>
      <c r="E6" s="59" t="str">
        <f>IFERROR(__xludf.DUMMYFUNCTION("""COMPUTED_VALUE"""),"https://scholar.google.com/citations?hl=en&amp;view_op=list_hcore&amp;venue=KigRzjvnEC0J.2024")</f>
        <v>https://scholar.google.com/citations?hl=en&amp;view_op=list_hcore&amp;venue=KigRzjvnEC0J.2024</v>
      </c>
      <c r="F6" s="57"/>
      <c r="H6" t="str">
        <f>IFERROR(__xludf.DUMMYFUNCTION("""COMPUTED_VALUE"""),"International Conference on Software Analysis, Evolution, and Reengineering (SANER)")</f>
        <v>International Conference on Software Analysis, Evolution, and Reengineering (SANER)</v>
      </c>
      <c r="I6" s="60" t="str">
        <f>IFERROR(__xludf.DUMMYFUNCTION("""COMPUTED_VALUE"""),"https://dblp.org/db/conf/wcre/index.html")</f>
        <v>https://dblp.org/db/conf/wcre/index.html</v>
      </c>
    </row>
    <row r="7">
      <c r="A7" s="58" t="str">
        <f>IFERROR(__xludf.DUMMYFUNCTION("""COMPUTED_VALUE"""),"Top 10")</f>
        <v>Top 10</v>
      </c>
      <c r="B7" s="57" t="str">
        <f>IFERROR(__xludf.DUMMYFUNCTION("""COMPUTED_VALUE"""),"ICSME")</f>
        <v>ICSME</v>
      </c>
      <c r="C7" s="57" t="str">
        <f>IFERROR(__xludf.DUMMYFUNCTION("""COMPUTED_VALUE"""),"IEEE International Conference on Software Maintenance and Evolution")</f>
        <v>IEEE International Conference on Software Maintenance and Evolution</v>
      </c>
      <c r="D7" s="133">
        <f>IFERROR(__xludf.DUMMYFUNCTION("""COMPUTED_VALUE"""),33.0)</f>
        <v>33</v>
      </c>
      <c r="E7" s="59" t="str">
        <f>IFERROR(__xludf.DUMMYFUNCTION("""COMPUTED_VALUE"""),"https://scholar.google.com/citations?hl=en&amp;view_op=list_hcore&amp;venue=rYWnDlpKBukJ.2024")</f>
        <v>https://scholar.google.com/citations?hl=en&amp;view_op=list_hcore&amp;venue=rYWnDlpKBukJ.2024</v>
      </c>
      <c r="F7" s="57"/>
      <c r="H7" t="str">
        <f>IFERROR(__xludf.DUMMYFUNCTION("""COMPUTED_VALUE"""),"IEEE International Conference on Software Maintenance and Evolution")</f>
        <v>IEEE International Conference on Software Maintenance and Evolution</v>
      </c>
      <c r="I7" s="60" t="str">
        <f>IFERROR(__xludf.DUMMYFUNCTION("""COMPUTED_VALUE"""),"https://dblp.org/db/conf/icsm/index.html")</f>
        <v>https://dblp.org/db/conf/icsm/index.html</v>
      </c>
    </row>
    <row r="8">
      <c r="A8" s="58" t="str">
        <f>IFERROR(__xludf.DUMMYFUNCTION("""COMPUTED_VALUE"""),"Top 10")</f>
        <v>Top 10</v>
      </c>
      <c r="B8" s="57" t="str">
        <f>IFERROR(__xludf.DUMMYFUNCTION("""COMPUTED_VALUE"""),"SBES")</f>
        <v>SBES</v>
      </c>
      <c r="C8" s="57" t="str">
        <f>IFERROR(__xludf.DUMMYFUNCTION("""COMPUTED_VALUE"""),"Brazilian Symposium on Software Engineering")</f>
        <v>Brazilian Symposium on Software Engineering</v>
      </c>
      <c r="D8" s="133">
        <f>IFERROR(__xludf.DUMMYFUNCTION("""COMPUTED_VALUE"""),21.0)</f>
        <v>21</v>
      </c>
      <c r="E8" s="59" t="str">
        <f>IFERROR(__xludf.DUMMYFUNCTION("""COMPUTED_VALUE"""),"https://scholar.google.com/citations?hl=en&amp;view_op=list_hcore&amp;venue=rXEm9Hzg5P8J.2024 ")</f>
        <v>https://scholar.google.com/citations?hl=en&amp;view_op=list_hcore&amp;venue=rXEm9Hzg5P8J.2024 </v>
      </c>
      <c r="F8" s="57"/>
      <c r="I8" s="60" t="str">
        <f>IFERROR(__xludf.DUMMYFUNCTION("""COMPUTED_VALUE"""),"https://dblp.org/db/conf/sbes/index.htm")</f>
        <v>https://dblp.org/db/conf/sbes/index.htm</v>
      </c>
      <c r="J8" s="60" t="str">
        <f>IFERROR(__xludf.DUMMYFUNCTION("""COMPUTED_VALUE"""),"https://sol.sbc.org.br/index.php/sbes")</f>
        <v>https://sol.sbc.org.br/index.php/sbes</v>
      </c>
    </row>
    <row r="9">
      <c r="A9" s="58" t="str">
        <f>IFERROR(__xludf.DUMMYFUNCTION("""COMPUTED_VALUE"""),"Top 10")</f>
        <v>Top 10</v>
      </c>
      <c r="B9" s="57" t="str">
        <f>IFERROR(__xludf.DUMMYFUNCTION("""COMPUTED_VALUE"""),"SBQS")</f>
        <v>SBQS</v>
      </c>
      <c r="C9" s="57" t="str">
        <f>IFERROR(__xludf.DUMMYFUNCTION("""COMPUTED_VALUE"""),"Simpósio Brasileiro de Qualidade de Software")</f>
        <v>Simpósio Brasileiro de Qualidade de Software</v>
      </c>
      <c r="D9" s="133">
        <f>IFERROR(__xludf.DUMMYFUNCTION("""COMPUTED_VALUE"""),12.0)</f>
        <v>12</v>
      </c>
      <c r="E9" s="59" t="str">
        <f>IFERROR(__xludf.DUMMYFUNCTION("""COMPUTED_VALUE"""),"https://scholar.google.com.br/citations?hl=pt-BR&amp;authuser=1&amp;view_op=list_hcore&amp;venue=21lpMhOn5OMJ.2024 ")</f>
        <v>https://scholar.google.com.br/citations?hl=pt-BR&amp;authuser=1&amp;view_op=list_hcore&amp;venue=21lpMhOn5OMJ.2024 </v>
      </c>
      <c r="F9" s="57"/>
      <c r="H9" t="str">
        <f>IFERROR(__xludf.DUMMYFUNCTION("""COMPUTED_VALUE"""),"Brazilian Symposium on Software Quality")</f>
        <v>Brazilian Symposium on Software Quality</v>
      </c>
      <c r="I9" s="60" t="str">
        <f>IFERROR(__xludf.DUMMYFUNCTION("""COMPUTED_VALUE"""),"https://dblp.org/db/conf/sbqs/index.html")</f>
        <v>https://dblp.org/db/conf/sbqs/index.html</v>
      </c>
    </row>
    <row r="10">
      <c r="A10" s="58" t="str">
        <f>IFERROR(__xludf.DUMMYFUNCTION("""COMPUTED_VALUE"""),"Top 10")</f>
        <v>Top 10</v>
      </c>
      <c r="B10" s="57" t="str">
        <f>IFERROR(__xludf.DUMMYFUNCTION("""COMPUTED_VALUE"""),"SBCARS")</f>
        <v>SBCARS</v>
      </c>
      <c r="C10" s="57" t="str">
        <f>IFERROR(__xludf.DUMMYFUNCTION("""COMPUTED_VALUE"""),"Brazilian Symposium on Components, Architectures and Reuse Software ")</f>
        <v>Brazilian Symposium on Components, Architectures and Reuse Software </v>
      </c>
      <c r="D10" s="67">
        <f>IFERROR(__xludf.DUMMYFUNCTION("""COMPUTED_VALUE"""),7.0)</f>
        <v>7</v>
      </c>
      <c r="E10" s="59" t="str">
        <f>IFERROR(__xludf.DUMMYFUNCTION("""COMPUTED_VALUE"""),"https://scholar.google.com/scholar?q=source%3ABrazilian+source%3ASymposium+source%3Aon+source%3ASoftware+source%3AComponents+source%3AArchitectures+source%3Aand+source%3AReuse&amp;hl=pt-BR&amp;as_sdt=0%2C5&amp;as_ylo=2020&amp;as_yhi=2024")</f>
        <v>https://scholar.google.com/scholar?q=source%3ABrazilian+source%3ASymposium+source%3Aon+source%3ASoftware+source%3AComponents+source%3AArchitectures+source%3Aand+source%3AReuse&amp;hl=pt-BR&amp;as_sdt=0%2C5&amp;as_ylo=2020&amp;as_yhi=2024</v>
      </c>
      <c r="F10" s="57"/>
      <c r="I10" s="60" t="str">
        <f>IFERROR(__xludf.DUMMYFUNCTION("""COMPUTED_VALUE"""),"https://dblp.org/db/conf/sbcars/index.html")</f>
        <v>https://dblp.org/db/conf/sbcars/index.html</v>
      </c>
      <c r="J10" s="60" t="str">
        <f>IFERROR(__xludf.DUMMYFUNCTION("""COMPUTED_VALUE"""),"https://sol.sbc.org.br/index.php/sbcars")</f>
        <v>https://sol.sbc.org.br/index.php/sbcars</v>
      </c>
    </row>
    <row r="11">
      <c r="A11" s="58" t="str">
        <f>IFERROR(__xludf.DUMMYFUNCTION("""COMPUTED_VALUE"""),"Top 10")</f>
        <v>Top 10</v>
      </c>
      <c r="B11" s="134" t="str">
        <f>IFERROR(__xludf.DUMMYFUNCTION("""COMPUTED_VALUE"""),"SAST")</f>
        <v>SAST</v>
      </c>
      <c r="C11" s="134" t="str">
        <f>IFERROR(__xludf.DUMMYFUNCTION("""COMPUTED_VALUE"""),"Brazilian Symposium on Systematic and Automated Software Testing")</f>
        <v>Brazilian Symposium on Systematic and Automated Software Testing</v>
      </c>
      <c r="D11" s="67">
        <f>IFERROR(__xludf.DUMMYFUNCTION("""COMPUTED_VALUE"""),6.0)</f>
        <v>6</v>
      </c>
      <c r="E11" s="59" t="str">
        <f>IFERROR(__xludf.DUMMYFUNCTION("""COMPUTED_VALUE"""),"https://scholar.google.com/scholar?q=source%3ABrazilian+source%3ASymposium+source%3Aon+source%3ASystematic+source%3Aand+source%3AAutomated+source%3ASoftware+source%3ATesting&amp;hl=pt-BR&amp;as_sdt=0%2C5&amp;as_ylo=2020&amp;as_yhi=2024")</f>
        <v>https://scholar.google.com/scholar?q=source%3ABrazilian+source%3ASymposium+source%3Aon+source%3ASystematic+source%3Aand+source%3AAutomated+source%3ASoftware+source%3ATesting&amp;hl=pt-BR&amp;as_sdt=0%2C5&amp;as_ylo=2020&amp;as_yhi=2024</v>
      </c>
      <c r="F11" s="57"/>
      <c r="I11" s="60" t="str">
        <f>IFERROR(__xludf.DUMMYFUNCTION("""COMPUTED_VALUE"""),"https://dblp.org/db/conf/sast/index.html")</f>
        <v>https://dblp.org/db/conf/sast/index.html</v>
      </c>
      <c r="J11" s="60" t="str">
        <f>IFERROR(__xludf.DUMMYFUNCTION("""COMPUTED_VALUE"""),"https://sol.sbc.org.br/index.php/sast")</f>
        <v>https://sol.sbc.org.br/index.php/sast</v>
      </c>
    </row>
    <row r="12">
      <c r="A12" s="65" t="str">
        <f>IFERROR(__xludf.DUMMYFUNCTION("""COMPUTED_VALUE"""),"TOP-20")</f>
        <v>TOP-20</v>
      </c>
      <c r="B12" s="57" t="str">
        <f>IFERROR(__xludf.DUMMYFUNCTION("""COMPUTED_VALUE"""),"CHASE")</f>
        <v>CHASE</v>
      </c>
      <c r="C12" s="57" t="str">
        <f>IFERROR(__xludf.DUMMYFUNCTION("""COMPUTED_VALUE"""),"International Workshop on Cooperative and Human Aspects of Software Engineering")</f>
        <v>International Workshop on Cooperative and Human Aspects of Software Engineering</v>
      </c>
      <c r="D12" s="135">
        <f>IFERROR(__xludf.DUMMYFUNCTION("""COMPUTED_VALUE"""),10.0)</f>
        <v>10</v>
      </c>
      <c r="E12" s="59" t="str">
        <f>IFERROR(__xludf.DUMMYFUNCTION("""COMPUTED_VALUE"""),"https://scholar.google.com/scholar?q=source%3AInternational+source%3ACooperative+source%3AHuman+source%3AAspects+source%3ASoftware+source%3AEngineering&amp;hl=pt-BR&amp;as_sdt=0%2C5&amp;as_ylo=2020&amp;as_yhi=2024")</f>
        <v>https://scholar.google.com/scholar?q=source%3AInternational+source%3ACooperative+source%3AHuman+source%3AAspects+source%3ASoftware+source%3AEngineering&amp;hl=pt-BR&amp;as_sdt=0%2C5&amp;as_ylo=2020&amp;as_yhi=2024</v>
      </c>
      <c r="G12" t="str">
        <f>IFERROR(__xludf.DUMMYFUNCTION("""COMPUTED_VALUE"""),"International Conference on Cooperative and Human Aspects of Software Engineering")</f>
        <v>International Conference on Cooperative and Human Aspects of Software Engineering</v>
      </c>
      <c r="I12" s="60" t="str">
        <f>IFERROR(__xludf.DUMMYFUNCTION("""COMPUTED_VALUE"""),"https://dblp.org/db/conf/icse-chase/index.html")</f>
        <v>https://dblp.org/db/conf/icse-chase/index.html</v>
      </c>
    </row>
    <row r="13">
      <c r="A13" s="65" t="str">
        <f>IFERROR(__xludf.DUMMYFUNCTION("""COMPUTED_VALUE"""),"TOP-20")</f>
        <v>TOP-20</v>
      </c>
      <c r="B13" s="57" t="str">
        <f>IFERROR(__xludf.DUMMYFUNCTION("""COMPUTED_VALUE"""),"VaMoS")</f>
        <v>VaMoS</v>
      </c>
      <c r="C13" s="57" t="str">
        <f>IFERROR(__xludf.DUMMYFUNCTION("""COMPUTED_VALUE"""),"International Workshop on Variability Modelling of Software-intensive Systems")</f>
        <v>International Workshop on Variability Modelling of Software-intensive Systems</v>
      </c>
      <c r="D13" s="135">
        <f>IFERROR(__xludf.DUMMYFUNCTION("""COMPUTED_VALUE"""),9.0)</f>
        <v>9</v>
      </c>
      <c r="E13" s="59" t="str">
        <f>IFERROR(__xludf.DUMMYFUNCTION("""COMPUTED_VALUE"""),"https://scholar.google.com/scholar?q=source%3AInternational+source%3AWorkshop+source%3AVariability+source%3AModelling+source%3ASoftware-intensive+source%3ASystems&amp;hl=pt-BR&amp;as_sdt=0%2C5&amp;as_ylo=2019&amp;as_yhi=2023")</f>
        <v>https://scholar.google.com/scholar?q=source%3AInternational+source%3AWorkshop+source%3AVariability+source%3AModelling+source%3ASoftware-intensive+source%3ASystems&amp;hl=pt-BR&amp;as_sdt=0%2C5&amp;as_ylo=2019&amp;as_yhi=2023</v>
      </c>
      <c r="I13" s="60" t="str">
        <f>IFERROR(__xludf.DUMMYFUNCTION("""COMPUTED_VALUE"""),"https://dblp.org/db/conf/vamos/index.html")</f>
        <v>https://dblp.org/db/conf/vamos/index.html</v>
      </c>
    </row>
    <row r="14">
      <c r="A14" s="65" t="str">
        <f>IFERROR(__xludf.DUMMYFUNCTION("""COMPUTED_VALUE"""),"TOP-20")</f>
        <v>TOP-20</v>
      </c>
      <c r="B14" s="57" t="str">
        <f>IFERROR(__xludf.DUMMYFUNCTION("""COMPUTED_VALUE"""),"WER")</f>
        <v>WER</v>
      </c>
      <c r="C14" s="57" t="str">
        <f>IFERROR(__xludf.DUMMYFUNCTION("""COMPUTED_VALUE"""),"Workshop de Engenharia de Requisitos")</f>
        <v>Workshop de Engenharia de Requisitos</v>
      </c>
      <c r="D14" s="136">
        <f>IFERROR(__xludf.DUMMYFUNCTION("""COMPUTED_VALUE"""),7.0)</f>
        <v>7</v>
      </c>
      <c r="E14" s="59" t="str">
        <f>IFERROR(__xludf.DUMMYFUNCTION("""COMPUTED_VALUE"""),"https://scholar.google.com/citations?hl=en&amp;view_op=list_hcore&amp;venue=OEzTeItQGVAJ.2024")</f>
        <v>https://scholar.google.com/citations?hl=en&amp;view_op=list_hcore&amp;venue=OEzTeItQGVAJ.2024</v>
      </c>
      <c r="H14" t="str">
        <f>IFERROR(__xludf.DUMMYFUNCTION("""COMPUTED_VALUE"""),"Workshp de Engenharia de Requisitos")</f>
        <v>Workshp de Engenharia de Requisitos</v>
      </c>
      <c r="I14" s="60" t="str">
        <f>IFERROR(__xludf.DUMMYFUNCTION("""COMPUTED_VALUE"""),"https://dblp.org/db/conf/wer/index.html")</f>
        <v>https://dblp.org/db/conf/wer/index.html</v>
      </c>
    </row>
    <row r="15">
      <c r="A15" s="65" t="str">
        <f>IFERROR(__xludf.DUMMYFUNCTION("""COMPUTED_VALUE"""),"TOP-20")</f>
        <v>TOP-20</v>
      </c>
      <c r="B15" s="57" t="str">
        <f>IFERROR(__xludf.DUMMYFUNCTION("""COMPUTED_VALUE"""),"CIbSE")</f>
        <v>CIbSE</v>
      </c>
      <c r="C15" s="57" t="str">
        <f>IFERROR(__xludf.DUMMYFUNCTION("""COMPUTED_VALUE"""),"Conferencia Iberoamericana de Software Engineering")</f>
        <v>Conferencia Iberoamericana de Software Engineering</v>
      </c>
      <c r="D15" s="135">
        <f>IFERROR(__xludf.DUMMYFUNCTION("""COMPUTED_VALUE"""),10.0)</f>
        <v>10</v>
      </c>
      <c r="E15" s="59" t="str">
        <f>IFERROR(__xludf.DUMMYFUNCTION("""COMPUTED_VALUE"""),"https://scholar.google.com/citations?hl=en&amp;view_op=list_hcore&amp;venue=Jh0oWyA5hnEJ.2024")</f>
        <v>https://scholar.google.com/citations?hl=en&amp;view_op=list_hcore&amp;venue=Jh0oWyA5hnEJ.2024</v>
      </c>
      <c r="H15" t="str">
        <f>IFERROR(__xludf.DUMMYFUNCTION("""COMPUTED_VALUE"""),"Iberoamerican Conference on Software Engineering")</f>
        <v>Iberoamerican Conference on Software Engineering</v>
      </c>
      <c r="I15" s="60" t="str">
        <f>IFERROR(__xludf.DUMMYFUNCTION("""COMPUTED_VALUE"""),"https://dblp.org/db/conf/cibse/index.html")</f>
        <v>https://dblp.org/db/conf/cibse/index.html</v>
      </c>
      <c r="J15" s="60" t="str">
        <f>IFERROR(__xludf.DUMMYFUNCTION("""COMPUTED_VALUE"""),"https://sol.sbc.org.br/index.php/cibse")</f>
        <v>https://sol.sbc.org.br/index.php/cibse</v>
      </c>
    </row>
    <row r="16">
      <c r="A16" s="65" t="str">
        <f>IFERROR(__xludf.DUMMYFUNCTION("""COMPUTED_VALUE"""),"TOP-20")</f>
        <v>TOP-20</v>
      </c>
      <c r="B16" s="57" t="str">
        <f>IFERROR(__xludf.DUMMYFUNCTION("""COMPUTED_VALUE"""),"SCAM")</f>
        <v>SCAM</v>
      </c>
      <c r="C16" s="57" t="str">
        <f>IFERROR(__xludf.DUMMYFUNCTION("""COMPUTED_VALUE"""),"IEEE International Working Conference on Source Code Analysis and Manipulation")</f>
        <v>IEEE International Working Conference on Source Code Analysis and Manipulation</v>
      </c>
      <c r="D16" s="135">
        <f>IFERROR(__xludf.DUMMYFUNCTION("""COMPUTED_VALUE"""),15.0)</f>
        <v>15</v>
      </c>
      <c r="E16" s="59" t="str">
        <f>IFERROR(__xludf.DUMMYFUNCTION("""COMPUTED_VALUE"""),"https://scholar.google.com/citations?hl=en&amp;view_op=list_hcore&amp;venue=m0WHmETFb4sJ.2024 ")</f>
        <v>https://scholar.google.com/citations?hl=en&amp;view_op=list_hcore&amp;venue=m0WHmETFb4sJ.2024 </v>
      </c>
      <c r="I16" s="60" t="str">
        <f>IFERROR(__xludf.DUMMYFUNCTION("""COMPUTED_VALUE"""),"https://dblp.org/db/conf/scam/index.html")</f>
        <v>https://dblp.org/db/conf/scam/index.html</v>
      </c>
    </row>
    <row r="17">
      <c r="A17" s="65" t="str">
        <f>IFERROR(__xludf.DUMMYFUNCTION("""COMPUTED_VALUE"""),"TOP-20")</f>
        <v>TOP-20</v>
      </c>
      <c r="B17" s="57" t="str">
        <f>IFERROR(__xludf.DUMMYFUNCTION("""COMPUTED_VALUE"""),"TechDebt")</f>
        <v>TechDebt</v>
      </c>
      <c r="C17" s="57" t="str">
        <f>IFERROR(__xludf.DUMMYFUNCTION("""COMPUTED_VALUE"""),"International Conference on Technical Debt")</f>
        <v>International Conference on Technical Debt</v>
      </c>
      <c r="D17" s="135">
        <f>IFERROR(__xludf.DUMMYFUNCTION("""COMPUTED_VALUE"""),15.0)</f>
        <v>15</v>
      </c>
      <c r="E17" s="59" t="str">
        <f>IFERROR(__xludf.DUMMYFUNCTION("""COMPUTED_VALUE"""),"https://scholar.google.com/scholar?q=source%3AInternational+source%3AConference+source%3Aon+source%3ATechnical+source%3ADebt&amp;hl=pt-BR&amp;as_sdt=0%2C5&amp;as_ylo=2020&amp;as_yhi=2024")</f>
        <v>https://scholar.google.com/scholar?q=source%3AInternational+source%3AConference+source%3Aon+source%3ATechnical+source%3ADebt&amp;hl=pt-BR&amp;as_sdt=0%2C5&amp;as_ylo=2020&amp;as_yhi=2024</v>
      </c>
      <c r="I17" s="60" t="str">
        <f>IFERROR(__xludf.DUMMYFUNCTION("""COMPUTED_VALUE"""),"https://dblp.org/db/conf/icse/techdebt2022.html")</f>
        <v>https://dblp.org/db/conf/icse/techdebt2022.html</v>
      </c>
    </row>
    <row r="18">
      <c r="A18" s="65" t="str">
        <f>IFERROR(__xludf.DUMMYFUNCTION("""COMPUTED_VALUE"""),"TOP-20")</f>
        <v>TOP-20</v>
      </c>
      <c r="B18" s="57" t="str">
        <f>IFERROR(__xludf.DUMMYFUNCTION("""COMPUTED_VALUE"""),"ICSE-SEIS")</f>
        <v>ICSE-SEIS</v>
      </c>
      <c r="C18" s="57" t="str">
        <f>IFERROR(__xludf.DUMMYFUNCTION("""COMPUTED_VALUE"""),"International Conference on Software Engineering: Software Engineering in Society")</f>
        <v>International Conference on Software Engineering: Software Engineering in Society</v>
      </c>
      <c r="D18" s="136">
        <f>IFERROR(__xludf.DUMMYFUNCTION("""COMPUTED_VALUE"""),10.0)</f>
        <v>10</v>
      </c>
      <c r="E18" s="59" t="str">
        <f>IFERROR(__xludf.DUMMYFUNCTION("""COMPUTED_VALUE"""),"https://scholar.google.com/scholar?q=ICSE-SEIS&amp;hl=pt-BR&amp;as_sdt=0%2C5&amp;as_ylo=2020&amp;as_yhi=2024")</f>
        <v>https://scholar.google.com/scholar?q=ICSE-SEIS&amp;hl=pt-BR&amp;as_sdt=0%2C5&amp;as_ylo=2020&amp;as_yhi=2024</v>
      </c>
      <c r="I18" s="60" t="str">
        <f>IFERROR(__xludf.DUMMYFUNCTION("""COMPUTED_VALUE"""),"https://dblp.org/db/conf/icse/index.html")</f>
        <v>https://dblp.org/db/conf/icse/index.html</v>
      </c>
    </row>
    <row r="19">
      <c r="A19" s="65" t="str">
        <f>IFERROR(__xludf.DUMMYFUNCTION("""COMPUTED_VALUE"""),"TOP-20")</f>
        <v>TOP-20</v>
      </c>
      <c r="B19" s="134" t="str">
        <f>IFERROR(__xludf.DUMMYFUNCTION("""COMPUTED_VALUE"""),"PROMISE")</f>
        <v>PROMISE</v>
      </c>
      <c r="C19" s="134" t="str">
        <f>IFERROR(__xludf.DUMMYFUNCTION("""COMPUTED_VALUE"""),"International Conference on Predictive Models in Software Engineering")</f>
        <v>International Conference on Predictive Models in Software Engineering</v>
      </c>
      <c r="D19" s="57">
        <f>IFERROR(__xludf.DUMMYFUNCTION("""COMPUTED_VALUE"""),8.0)</f>
        <v>8</v>
      </c>
      <c r="E19" s="59" t="str">
        <f>IFERROR(__xludf.DUMMYFUNCTION("""COMPUTED_VALUE"""),"https://scholar.google.com/scholar?q=source%3AInternational+source%3AConference+source%3Aon+source%3APredictive+source%3AModels+source%3Ain+source%3ASoftware+source%3AEngineering&amp;hl=en&amp;as_sdt=0%2C3&amp;as_ylo=2020&amp;as_yhi=2024")</f>
        <v>https://scholar.google.com/scholar?q=source%3AInternational+source%3AConference+source%3Aon+source%3APredictive+source%3AModels+source%3Ain+source%3ASoftware+source%3AEngineering&amp;hl=en&amp;as_sdt=0%2C3&amp;as_ylo=2020&amp;as_yhi=2024</v>
      </c>
      <c r="I19" s="60" t="str">
        <f>IFERROR(__xludf.DUMMYFUNCTION("""COMPUTED_VALUE"""),"https://dblp.org/db/conf/promise/index.html")</f>
        <v>https://dblp.org/db/conf/promise/index.html</v>
      </c>
    </row>
    <row r="20">
      <c r="A20" s="65" t="str">
        <f>IFERROR(__xludf.DUMMYFUNCTION("""COMPUTED_VALUE"""),"TOP-20")</f>
        <v>TOP-20</v>
      </c>
      <c r="B20" s="134" t="str">
        <f>IFERROR(__xludf.DUMMYFUNCTION("""COMPUTED_VALUE"""),"VEM")</f>
        <v>VEM</v>
      </c>
      <c r="C20" s="134" t="str">
        <f>IFERROR(__xludf.DUMMYFUNCTION("""COMPUTED_VALUE"""),"Workshop on Software Visualization, Evolution and Maintenance")</f>
        <v>Workshop on Software Visualization, Evolution and Maintenance</v>
      </c>
      <c r="D20" s="57">
        <f>IFERROR(__xludf.DUMMYFUNCTION("""COMPUTED_VALUE"""),4.0)</f>
        <v>4</v>
      </c>
      <c r="E20" s="59" t="str">
        <f>IFERROR(__xludf.DUMMYFUNCTION("""COMPUTED_VALUE"""),"https://scholar.google.com/scholar?q=source%3AWorkshop+source%3AVisualiza%C3%A7%C3%A3o+source%3AEvolu%C3%A7%C3%A3o+source%3AManuten%C3%A7%C3%A3o+source%3ASoftware&amp;hl=pt-BR&amp;as_sdt=0%2C5&amp;as_ylo=2020&amp;as_yhi=2024")</f>
        <v>https://scholar.google.com/scholar?q=source%3AWorkshop+source%3AVisualiza%C3%A7%C3%A3o+source%3AEvolu%C3%A7%C3%A3o+source%3AManuten%C3%A7%C3%A3o+source%3ASoftware&amp;hl=pt-BR&amp;as_sdt=0%2C5&amp;as_ylo=2020&amp;as_yhi=2024</v>
      </c>
      <c r="I20" s="60" t="str">
        <f>IFERROR(__xludf.DUMMYFUNCTION("""COMPUTED_VALUE"""),"https://dblp.org/db/conf/vem/index.html")</f>
        <v>https://dblp.org/db/conf/vem/index.html</v>
      </c>
    </row>
    <row r="21">
      <c r="A21" s="65" t="str">
        <f>IFERROR(__xludf.DUMMYFUNCTION("""COMPUTED_VALUE"""),"TOP-20")</f>
        <v>TOP-20</v>
      </c>
      <c r="B21" s="137" t="str">
        <f>IFERROR(__xludf.DUMMYFUNCTION("""COMPUTED_VALUE"""),"PROFES")</f>
        <v>PROFES</v>
      </c>
      <c r="C21" s="137" t="str">
        <f>IFERROR(__xludf.DUMMYFUNCTION("""COMPUTED_VALUE"""),"International Conference on Product-Focused Software Process Improvement")</f>
        <v>International Conference on Product-Focused Software Process Improvement</v>
      </c>
      <c r="D21" s="138">
        <f>IFERROR(__xludf.DUMMYFUNCTION("""COMPUTED_VALUE"""),18.0)</f>
        <v>18</v>
      </c>
      <c r="E21" s="59" t="str">
        <f>IFERROR(__xludf.DUMMYFUNCTION("""COMPUTED_VALUE"""),"https://scholar.google.com/citations?hl=en&amp;view_op=list_hcore&amp;venue=FQXvEi7Xod4J.2024")</f>
        <v>https://scholar.google.com/citations?hl=en&amp;view_op=list_hcore&amp;venue=FQXvEi7Xod4J.2024</v>
      </c>
      <c r="H21" t="str">
        <f>IFERROR(__xludf.DUMMYFUNCTION("""COMPUTED_VALUE"""),"Product Focused Software Process Improvement (PROFES)")</f>
        <v>Product Focused Software Process Improvement (PROFES)</v>
      </c>
      <c r="I21" s="60" t="str">
        <f>IFERROR(__xludf.DUMMYFUNCTION("""COMPUTED_VALUE"""),"https://dblp.org/db/conf/profes/index.html")</f>
        <v>https://dblp.org/db/conf/profes/index.html</v>
      </c>
    </row>
    <row r="22">
      <c r="A22" s="68" t="str">
        <f>IFERROR(__xludf.DUMMYFUNCTION("""COMPUTED_VALUE"""),"Eventos da Área")</f>
        <v>Eventos da Área</v>
      </c>
      <c r="B22" s="57" t="str">
        <f>IFERROR(__xludf.DUMMYFUNCTION("""COMPUTED_VALUE"""),"REFSQ")</f>
        <v>REFSQ</v>
      </c>
      <c r="C22" s="57" t="str">
        <f>IFERROR(__xludf.DUMMYFUNCTION("""COMPUTED_VALUE"""),"International Working Conference on Requirements Engineering: Foundations for Software Quality")</f>
        <v>International Working Conference on Requirements Engineering: Foundations for Software Quality</v>
      </c>
      <c r="D22" s="135">
        <f>IFERROR(__xludf.DUMMYFUNCTION("""COMPUTED_VALUE"""),20.0)</f>
        <v>20</v>
      </c>
      <c r="E22" s="59" t="str">
        <f>IFERROR(__xludf.DUMMYFUNCTION("""COMPUTED_VALUE"""),"https://scholar.google.com/citations?hl=en&amp;view_op=list_hcore&amp;venue=VATFw1qhessJ.2024 ")</f>
        <v>https://scholar.google.com/citations?hl=en&amp;view_op=list_hcore&amp;venue=VATFw1qhessJ.2024 </v>
      </c>
      <c r="F22" s="57"/>
      <c r="I22" s="60" t="str">
        <f>IFERROR(__xludf.DUMMYFUNCTION("""COMPUTED_VALUE"""),"https://dblp.org/db/conf/refsq/index.html")</f>
        <v>https://dblp.org/db/conf/refsq/index.html</v>
      </c>
    </row>
    <row r="23">
      <c r="A23" s="68" t="str">
        <f>IFERROR(__xludf.DUMMYFUNCTION("""COMPUTED_VALUE"""),"Eventos da Área")</f>
        <v>Eventos da Área</v>
      </c>
      <c r="B23" s="57" t="str">
        <f>IFERROR(__xludf.DUMMYFUNCTION("""COMPUTED_VALUE"""),"ESEM")</f>
        <v>ESEM</v>
      </c>
      <c r="C23" s="57" t="str">
        <f>IFERROR(__xludf.DUMMYFUNCTION("""COMPUTED_VALUE"""),"ACM/IEEE International Symposium on Empirical Software Engineering and Measurement")</f>
        <v>ACM/IEEE International Symposium on Empirical Software Engineering and Measurement</v>
      </c>
      <c r="D23" s="136">
        <f>IFERROR(__xludf.DUMMYFUNCTION("""COMPUTED_VALUE"""),28.0)</f>
        <v>28</v>
      </c>
      <c r="E23" s="59" t="str">
        <f>IFERROR(__xludf.DUMMYFUNCTION("""COMPUTED_VALUE"""),"https://scholar.google.com/citations?hl=en&amp;view_op=list_hcore&amp;venue=TWG2GULnchAJ.2024")</f>
        <v>https://scholar.google.com/citations?hl=en&amp;view_op=list_hcore&amp;venue=TWG2GULnchAJ.2024</v>
      </c>
      <c r="F23" s="57"/>
      <c r="H23" t="str">
        <f>IFERROR(__xludf.DUMMYFUNCTION("""COMPUTED_VALUE"""),"International Symposium on Empirical Software Engineering and Measurement, ESEM")</f>
        <v>International Symposium on Empirical Software Engineering and Measurement, ESEM</v>
      </c>
      <c r="I23" s="60" t="str">
        <f>IFERROR(__xludf.DUMMYFUNCTION("""COMPUTED_VALUE"""),"https://dblp.org/db/conf/esem/index.html")</f>
        <v>https://dblp.org/db/conf/esem/index.html</v>
      </c>
    </row>
    <row r="24">
      <c r="A24" s="68" t="str">
        <f>IFERROR(__xludf.DUMMYFUNCTION("""COMPUTED_VALUE"""),"Eventos da Área")</f>
        <v>Eventos da Área</v>
      </c>
      <c r="B24" s="57" t="str">
        <f>IFERROR(__xludf.DUMMYFUNCTION("""COMPUTED_VALUE"""),"RE")</f>
        <v>RE</v>
      </c>
      <c r="C24" s="57" t="str">
        <f>IFERROR(__xludf.DUMMYFUNCTION("""COMPUTED_VALUE"""),"IEEE International Requirements Engineering Conference")</f>
        <v>IEEE International Requirements Engineering Conference</v>
      </c>
      <c r="D24" s="136">
        <f>IFERROR(__xludf.DUMMYFUNCTION("""COMPUTED_VALUE"""),32.0)</f>
        <v>32</v>
      </c>
      <c r="E24" s="59" t="str">
        <f>IFERROR(__xludf.DUMMYFUNCTION("""COMPUTED_VALUE"""),"https://scholar.google.com/citations?hl=en&amp;view_op=list_hcore&amp;venue=fkF-UcrzbCsJ.2024")</f>
        <v>https://scholar.google.com/citations?hl=en&amp;view_op=list_hcore&amp;venue=fkF-UcrzbCsJ.2024</v>
      </c>
      <c r="F24" s="57"/>
      <c r="I24" s="60" t="str">
        <f>IFERROR(__xludf.DUMMYFUNCTION("""COMPUTED_VALUE"""),"https://dblp.org/db/conf/re/index.html")</f>
        <v>https://dblp.org/db/conf/re/index.html</v>
      </c>
    </row>
    <row r="25">
      <c r="A25" s="68" t="str">
        <f>IFERROR(__xludf.DUMMYFUNCTION("""COMPUTED_VALUE"""),"Eventos da Área")</f>
        <v>Eventos da Área</v>
      </c>
      <c r="B25" s="57" t="str">
        <f>IFERROR(__xludf.DUMMYFUNCTION("""COMPUTED_VALUE"""),"WICSA")</f>
        <v>WICSA</v>
      </c>
      <c r="C25" s="57" t="str">
        <f>IFERROR(__xludf.DUMMYFUNCTION("""COMPUTED_VALUE"""),"Working IEEE/IFIP Conference on Software Architecture")</f>
        <v>Working IEEE/IFIP Conference on Software Architecture</v>
      </c>
      <c r="D25" s="135">
        <f>IFERROR(__xludf.DUMMYFUNCTION("""COMPUTED_VALUE"""),28.0)</f>
        <v>28</v>
      </c>
      <c r="E25" s="59" t="str">
        <f>IFERROR(__xludf.DUMMYFUNCTION("""COMPUTED_VALUE"""),"https://scholar.google.com/citations?hl=en&amp;view_op=list_hcore&amp;venue=7pDaek0315EJ.2024 ")</f>
        <v>https://scholar.google.com/citations?hl=en&amp;view_op=list_hcore&amp;venue=7pDaek0315EJ.2024 </v>
      </c>
      <c r="F25" s="57"/>
      <c r="G25" t="str">
        <f>IFERROR(__xludf.DUMMYFUNCTION("""COMPUTED_VALUE"""),"International Conference on Software Architecture (ICSA)")</f>
        <v>International Conference on Software Architecture (ICSA)</v>
      </c>
      <c r="H25" t="str">
        <f>IFERROR(__xludf.DUMMYFUNCTION("""COMPUTED_VALUE"""),"IEEE International Conference on Software Architecture Companion")</f>
        <v>IEEE International Conference on Software Architecture Companion</v>
      </c>
      <c r="I25" s="60" t="str">
        <f>IFERROR(__xludf.DUMMYFUNCTION("""COMPUTED_VALUE"""),"https://dblp.org/db/conf/icsa/index.html")</f>
        <v>https://dblp.org/db/conf/icsa/index.html</v>
      </c>
    </row>
    <row r="26">
      <c r="A26" s="68" t="str">
        <f>IFERROR(__xludf.DUMMYFUNCTION("""COMPUTED_VALUE"""),"Eventos da Área")</f>
        <v>Eventos da Área</v>
      </c>
      <c r="B26" s="57" t="str">
        <f>IFERROR(__xludf.DUMMYFUNCTION("""COMPUTED_VALUE"""),"MODELS")</f>
        <v>MODELS</v>
      </c>
      <c r="C26" s="57" t="str">
        <f>IFERROR(__xludf.DUMMYFUNCTION("""COMPUTED_VALUE"""),"International Conference on Model Driven Engineering Languages and Systems")</f>
        <v>International Conference on Model Driven Engineering Languages and Systems</v>
      </c>
      <c r="D26" s="136">
        <f>IFERROR(__xludf.DUMMYFUNCTION("""COMPUTED_VALUE"""),26.0)</f>
        <v>26</v>
      </c>
      <c r="E26" s="59" t="str">
        <f>IFERROR(__xludf.DUMMYFUNCTION("""COMPUTED_VALUE"""),"https://scholar.google.com/citations?hl=en&amp;view_op=list_hcore&amp;venue=3ppqdCDVTskJ.2024")</f>
        <v>https://scholar.google.com/citations?hl=en&amp;view_op=list_hcore&amp;venue=3ppqdCDVTskJ.2024</v>
      </c>
      <c r="F26" s="57"/>
      <c r="H26" t="str">
        <f>IFERROR(__xludf.DUMMYFUNCTION("""COMPUTED_VALUE"""),"Model Driven Engineering Languages and Systems")</f>
        <v>Model Driven Engineering Languages and Systems</v>
      </c>
      <c r="I26" s="60" t="str">
        <f>IFERROR(__xludf.DUMMYFUNCTION("""COMPUTED_VALUE"""),"https://dblp.org/db/conf/models/index.html")</f>
        <v>https://dblp.org/db/conf/models/index.html</v>
      </c>
    </row>
    <row r="27">
      <c r="A27" s="68" t="str">
        <f>IFERROR(__xludf.DUMMYFUNCTION("""COMPUTED_VALUE"""),"Eventos da Área")</f>
        <v>Eventos da Área</v>
      </c>
      <c r="B27" s="57" t="str">
        <f>IFERROR(__xludf.DUMMYFUNCTION("""COMPUTED_VALUE"""),"XP")</f>
        <v>XP</v>
      </c>
      <c r="C27" s="57" t="str">
        <f>IFERROR(__xludf.DUMMYFUNCTION("""COMPUTED_VALUE"""),"International Conference on Agile Software Development")</f>
        <v>International Conference on Agile Software Development</v>
      </c>
      <c r="D27" s="136">
        <f>IFERROR(__xludf.DUMMYFUNCTION("""COMPUTED_VALUE"""),24.0)</f>
        <v>24</v>
      </c>
      <c r="E27" s="59" t="str">
        <f>IFERROR(__xludf.DUMMYFUNCTION("""COMPUTED_VALUE"""),"https://scholar.google.com/citations?hl=en&amp;view_op=list_hcore&amp;venue=CWzNub7mXWkJ.2024")</f>
        <v>https://scholar.google.com/citations?hl=en&amp;view_op=list_hcore&amp;venue=CWzNub7mXWkJ.2024</v>
      </c>
      <c r="F27" s="57"/>
      <c r="H27" t="str">
        <f>IFERROR(__xludf.DUMMYFUNCTION("""COMPUTED_VALUE"""),"International Conference on Agile Processes in Software Engineering and Extreme Programming (XP)")</f>
        <v>International Conference on Agile Processes in Software Engineering and Extreme Programming (XP)</v>
      </c>
      <c r="I27" s="60" t="str">
        <f>IFERROR(__xludf.DUMMYFUNCTION("""COMPUTED_VALUE"""),"https://dblp.org/db/conf/xpu/index.html")</f>
        <v>https://dblp.org/db/conf/xpu/index.html</v>
      </c>
    </row>
    <row r="28">
      <c r="A28" s="68" t="str">
        <f>IFERROR(__xludf.DUMMYFUNCTION("""COMPUTED_VALUE"""),"Eventos da Área")</f>
        <v>Eventos da Área</v>
      </c>
      <c r="B28" s="57" t="str">
        <f>IFERROR(__xludf.DUMMYFUNCTION("""COMPUTED_VALUE"""),"ISSRE")</f>
        <v>ISSRE</v>
      </c>
      <c r="C28" s="57" t="str">
        <f>IFERROR(__xludf.DUMMYFUNCTION("""COMPUTED_VALUE"""),"IEEE International Symposium on Software Reliability Engineering")</f>
        <v>IEEE International Symposium on Software Reliability Engineering</v>
      </c>
      <c r="D28" s="136">
        <f>IFERROR(__xludf.DUMMYFUNCTION("""COMPUTED_VALUE"""),28.0)</f>
        <v>28</v>
      </c>
      <c r="E28" s="59" t="str">
        <f>IFERROR(__xludf.DUMMYFUNCTION("""COMPUTED_VALUE"""),"https://scholar.google.com/citations?hl=en&amp;view_op=list_hcore&amp;venue=xJhIFxijeG8J.2024")</f>
        <v>https://scholar.google.com/citations?hl=en&amp;view_op=list_hcore&amp;venue=xJhIFxijeG8J.2024</v>
      </c>
      <c r="F28" s="57"/>
      <c r="H28" t="str">
        <f>IFERROR(__xludf.DUMMYFUNCTION("""COMPUTED_VALUE"""),"International Symposium on Software Reliability Engineering")</f>
        <v>International Symposium on Software Reliability Engineering</v>
      </c>
      <c r="I28" s="60" t="str">
        <f>IFERROR(__xludf.DUMMYFUNCTION("""COMPUTED_VALUE"""),"https://dblp.org/db/conf/issre/index.html")</f>
        <v>https://dblp.org/db/conf/issre/index.html</v>
      </c>
    </row>
    <row r="29">
      <c r="A29" s="68" t="str">
        <f>IFERROR(__xludf.DUMMYFUNCTION("""COMPUTED_VALUE"""),"Eventos da Área")</f>
        <v>Eventos da Área</v>
      </c>
      <c r="B29" s="57" t="str">
        <f>IFERROR(__xludf.DUMMYFUNCTION("""COMPUTED_VALUE"""),"SEAA")</f>
        <v>SEAA</v>
      </c>
      <c r="C29" s="57" t="str">
        <f>IFERROR(__xludf.DUMMYFUNCTION("""COMPUTED_VALUE"""),"Euromicro Conference on Software Engineering and Advanced Applications")</f>
        <v>Euromicro Conference on Software Engineering and Advanced Applications</v>
      </c>
      <c r="D29" s="136">
        <f>IFERROR(__xludf.DUMMYFUNCTION("""COMPUTED_VALUE"""),23.0)</f>
        <v>23</v>
      </c>
      <c r="E29" s="59" t="str">
        <f>IFERROR(__xludf.DUMMYFUNCTION("""COMPUTED_VALUE"""),"https://scholar.google.com/citations?hl=en&amp;view_op=list_hcore&amp;venue=q4lhGCNkc40J.2024")</f>
        <v>https://scholar.google.com/citations?hl=en&amp;view_op=list_hcore&amp;venue=q4lhGCNkc40J.2024</v>
      </c>
      <c r="F29" s="57"/>
      <c r="I29" s="60" t="str">
        <f>IFERROR(__xludf.DUMMYFUNCTION("""COMPUTED_VALUE"""),"https://dblp.org/db/conf/euromicro/index.html")</f>
        <v>https://dblp.org/db/conf/euromicro/index.html</v>
      </c>
    </row>
    <row r="30">
      <c r="A30" s="68" t="str">
        <f>IFERROR(__xludf.DUMMYFUNCTION("""COMPUTED_VALUE"""),"Eventos da Área")</f>
        <v>Eventos da Área</v>
      </c>
      <c r="B30" s="138" t="str">
        <f>IFERROR(__xludf.DUMMYFUNCTION("""COMPUTED_VALUE"""),"ISSTA")</f>
        <v>ISSTA</v>
      </c>
      <c r="C30" s="138" t="str">
        <f>IFERROR(__xludf.DUMMYFUNCTION("""COMPUTED_VALUE"""),"International Symposium on Software Testing and Analysis")</f>
        <v>International Symposium on Software Testing and Analysis</v>
      </c>
      <c r="D30" s="139">
        <f>IFERROR(__xludf.DUMMYFUNCTION("""COMPUTED_VALUE"""),45.0)</f>
        <v>45</v>
      </c>
      <c r="E30" s="59" t="str">
        <f>IFERROR(__xludf.DUMMYFUNCTION("""COMPUTED_VALUE"""),"https://scholar.google.com/citations?hl=en&amp;view_op=list_hcore&amp;venue=llVusf8drOoJ.2024")</f>
        <v>https://scholar.google.com/citations?hl=en&amp;view_op=list_hcore&amp;venue=llVusf8drOoJ.2024</v>
      </c>
      <c r="F30" s="57"/>
      <c r="I30" s="60" t="str">
        <f>IFERROR(__xludf.DUMMYFUNCTION("""COMPUTED_VALUE"""),"https://dblp.org/db/conf/issta/index.html")</f>
        <v>https://dblp.org/db/conf/issta/index.html</v>
      </c>
    </row>
    <row r="31">
      <c r="A31" s="68" t="str">
        <f>IFERROR(__xludf.DUMMYFUNCTION("""COMPUTED_VALUE"""),"Eventos da Área")</f>
        <v>Eventos da Área</v>
      </c>
      <c r="B31" s="57" t="str">
        <f>IFERROR(__xludf.DUMMYFUNCTION("""COMPUTED_VALUE"""),"ICPC")</f>
        <v>ICPC</v>
      </c>
      <c r="C31" s="57" t="str">
        <f>IFERROR(__xludf.DUMMYFUNCTION("""COMPUTED_VALUE"""),"International Conference on Program Comprehension")</f>
        <v>International Conference on Program Comprehension</v>
      </c>
      <c r="D31" s="136">
        <f>IFERROR(__xludf.DUMMYFUNCTION("""COMPUTED_VALUE"""),33.0)</f>
        <v>33</v>
      </c>
      <c r="E31" s="59" t="str">
        <f>IFERROR(__xludf.DUMMYFUNCTION("""COMPUTED_VALUE"""),"https://scholar.google.com/citations?hl=en&amp;view_op=list_hcore&amp;venue=Q7aNVRgyGrYJ.2024")</f>
        <v>https://scholar.google.com/citations?hl=en&amp;view_op=list_hcore&amp;venue=Q7aNVRgyGrYJ.2024</v>
      </c>
      <c r="F31" s="57"/>
      <c r="H31" t="str">
        <f>IFERROR(__xludf.DUMMYFUNCTION("""COMPUTED_VALUE"""),"IEEE International Conference on Program Comprehension")</f>
        <v>IEEE International Conference on Program Comprehension</v>
      </c>
      <c r="I31" s="60" t="str">
        <f>IFERROR(__xludf.DUMMYFUNCTION("""COMPUTED_VALUE"""),"https://dblp.org/db/conf/iwpc/index.html")</f>
        <v>https://dblp.org/db/conf/iwpc/index.html</v>
      </c>
    </row>
    <row r="32">
      <c r="A32" s="68" t="str">
        <f>IFERROR(__xludf.DUMMYFUNCTION("""COMPUTED_VALUE"""),"Eventos da Área")</f>
        <v>Eventos da Área</v>
      </c>
      <c r="B32" s="57" t="str">
        <f>IFERROR(__xludf.DUMMYFUNCTION("""COMPUTED_VALUE"""),"ICSTV")</f>
        <v>ICSTV</v>
      </c>
      <c r="C32" s="57" t="str">
        <f>IFERROR(__xludf.DUMMYFUNCTION("""COMPUTED_VALUE"""),"IEEE International Conference on Software Testing, Verification and Validation")</f>
        <v>IEEE International Conference on Software Testing, Verification and Validation</v>
      </c>
      <c r="D32" s="136">
        <f>IFERROR(__xludf.DUMMYFUNCTION("""COMPUTED_VALUE"""),32.0)</f>
        <v>32</v>
      </c>
      <c r="E32" s="59" t="str">
        <f>IFERROR(__xludf.DUMMYFUNCTION("""COMPUTED_VALUE"""),"https://scholar.google.com/citations?hl=en&amp;view_op=list_hcore&amp;venue=DQUq5mthvPAJ.2024")</f>
        <v>https://scholar.google.com/citations?hl=en&amp;view_op=list_hcore&amp;venue=DQUq5mthvPAJ.2024</v>
      </c>
      <c r="F32" s="57"/>
      <c r="H32" t="str">
        <f>IFERROR(__xludf.DUMMYFUNCTION("""COMPUTED_VALUE"""),"IEEE International Conference on Software Testing, Verification and Validation (ICST)")</f>
        <v>IEEE International Conference on Software Testing, Verification and Validation (ICST)</v>
      </c>
      <c r="I32" s="60" t="str">
        <f>IFERROR(__xludf.DUMMYFUNCTION("""COMPUTED_VALUE"""),"https://dblp.org/db/conf/icst/index.html")</f>
        <v>https://dblp.org/db/conf/icst/index.html</v>
      </c>
    </row>
    <row r="33">
      <c r="A33" s="68" t="str">
        <f>IFERROR(__xludf.DUMMYFUNCTION("""COMPUTED_VALUE"""),"Eventos da Área")</f>
        <v>Eventos da Área</v>
      </c>
      <c r="B33" s="57" t="str">
        <f>IFERROR(__xludf.DUMMYFUNCTION("""COMPUTED_VALUE"""),"SAC")</f>
        <v>SAC</v>
      </c>
      <c r="C33" s="57" t="str">
        <f>IFERROR(__xludf.DUMMYFUNCTION("""COMPUTED_VALUE"""),"ACM Symposium on Applied Computing")</f>
        <v>ACM Symposium on Applied Computing</v>
      </c>
      <c r="D33" s="136">
        <f>IFERROR(__xludf.DUMMYFUNCTION("""COMPUTED_VALUE"""),36.0)</f>
        <v>36</v>
      </c>
      <c r="E33" s="59" t="str">
        <f>IFERROR(__xludf.DUMMYFUNCTION("""COMPUTED_VALUE"""),"https://scholar.google.com.br/citations?hl=pt-BR&amp;authuser=1&amp;view_op=list_hcore&amp;venue=eLhWa3qzEDsJ.2024")</f>
        <v>https://scholar.google.com.br/citations?hl=pt-BR&amp;authuser=1&amp;view_op=list_hcore&amp;venue=eLhWa3qzEDsJ.2024</v>
      </c>
      <c r="F33" s="57"/>
      <c r="I33" s="60" t="str">
        <f>IFERROR(__xludf.DUMMYFUNCTION("""COMPUTED_VALUE"""),"https://dblp.org/db/conf/sac/index.html")</f>
        <v>https://dblp.org/db/conf/sac/index.html</v>
      </c>
    </row>
    <row r="34">
      <c r="A34" s="68" t="str">
        <f>IFERROR(__xludf.DUMMYFUNCTION("""COMPUTED_VALUE"""),"Eventos da Área")</f>
        <v>Eventos da Área</v>
      </c>
      <c r="B34" s="57" t="str">
        <f>IFERROR(__xludf.DUMMYFUNCTION("""COMPUTED_VALUE"""),"ICPE")</f>
        <v>ICPE</v>
      </c>
      <c r="C34" s="57" t="str">
        <f>IFERROR(__xludf.DUMMYFUNCTION("""COMPUTED_VALUE"""),"International Conference on Performance Engineering")</f>
        <v>International Conference on Performance Engineering</v>
      </c>
      <c r="D34" s="136">
        <f>IFERROR(__xludf.DUMMYFUNCTION("""COMPUTED_VALUE"""),23.0)</f>
        <v>23</v>
      </c>
      <c r="E34" s="59" t="str">
        <f>IFERROR(__xludf.DUMMYFUNCTION("""COMPUTED_VALUE"""),"https://scholar.google.com/citations?hl=en&amp;view_op=list_hcore&amp;venue=nS824tflG3QJ.2024")</f>
        <v>https://scholar.google.com/citations?hl=en&amp;view_op=list_hcore&amp;venue=nS824tflG3QJ.2024</v>
      </c>
      <c r="F34" s="57"/>
      <c r="H34" t="str">
        <f>IFERROR(__xludf.DUMMYFUNCTION("""COMPUTED_VALUE"""),"ACM/SPEC International Conference on Performance Engineering")</f>
        <v>ACM/SPEC International Conference on Performance Engineering</v>
      </c>
      <c r="I34" s="60" t="str">
        <f>IFERROR(__xludf.DUMMYFUNCTION("""COMPUTED_VALUE"""),"https://dblp.org/db/conf/wosp/index.html")</f>
        <v>https://dblp.org/db/conf/wosp/index.html</v>
      </c>
    </row>
    <row r="35">
      <c r="A35" s="68" t="str">
        <f>IFERROR(__xludf.DUMMYFUNCTION("""COMPUTED_VALUE"""),"Eventos da Área")</f>
        <v>Eventos da Área</v>
      </c>
      <c r="B35" s="57" t="str">
        <f>IFERROR(__xludf.DUMMYFUNCTION("""COMPUTED_VALUE"""),"SPLC")</f>
        <v>SPLC</v>
      </c>
      <c r="C35" s="57" t="str">
        <f>IFERROR(__xludf.DUMMYFUNCTION("""COMPUTED_VALUE"""),"International Software Product Line Conference")</f>
        <v>International Software Product Line Conference</v>
      </c>
      <c r="D35" s="136">
        <f>IFERROR(__xludf.DUMMYFUNCTION("""COMPUTED_VALUE"""),25.0)</f>
        <v>25</v>
      </c>
      <c r="E35" s="59" t="str">
        <f>IFERROR(__xludf.DUMMYFUNCTION("""COMPUTED_VALUE"""),"https://scholar.google.com/citations?hl=en&amp;view_op=list_hcore&amp;venue=d7uBCzQUspcJ.2024")</f>
        <v>https://scholar.google.com/citations?hl=en&amp;view_op=list_hcore&amp;venue=d7uBCzQUspcJ.2024</v>
      </c>
      <c r="F35" s="57"/>
      <c r="I35" s="60" t="str">
        <f>IFERROR(__xludf.DUMMYFUNCTION("""COMPUTED_VALUE"""),"https://dblp.org/db/conf/splc/index.html")</f>
        <v>https://dblp.org/db/conf/splc/index.html</v>
      </c>
    </row>
    <row r="36">
      <c r="A36" s="68" t="str">
        <f>IFERROR(__xludf.DUMMYFUNCTION("""COMPUTED_VALUE"""),"Eventos da Área")</f>
        <v>Eventos da Área</v>
      </c>
      <c r="B36" s="138" t="str">
        <f>IFERROR(__xludf.DUMMYFUNCTION("""COMPUTED_VALUE"""),"EASE")</f>
        <v>EASE</v>
      </c>
      <c r="C36" s="138" t="str">
        <f>IFERROR(__xludf.DUMMYFUNCTION("""COMPUTED_VALUE"""),"International Conference on Evaluation and Assessment in Software Engineering")</f>
        <v>International Conference on Evaluation and Assessment in Software Engineering</v>
      </c>
      <c r="D36" s="140">
        <f>IFERROR(__xludf.DUMMYFUNCTION("""COMPUTED_VALUE"""),25.0)</f>
        <v>25</v>
      </c>
      <c r="E36" s="59" t="str">
        <f>IFERROR(__xludf.DUMMYFUNCTION("""COMPUTED_VALUE"""),"https://scholar.google.com/citations?hl=en&amp;view_op=list_hcore&amp;venue=jk7nbKX2c8EJ.2024")</f>
        <v>https://scholar.google.com/citations?hl=en&amp;view_op=list_hcore&amp;venue=jk7nbKX2c8EJ.2024</v>
      </c>
      <c r="F36" s="57"/>
      <c r="I36" s="60" t="str">
        <f>IFERROR(__xludf.DUMMYFUNCTION("""COMPUTED_VALUE"""),"https://dblp.org/db/conf/ease/index.html")</f>
        <v>https://dblp.org/db/conf/ease/index.html</v>
      </c>
    </row>
    <row r="37">
      <c r="A37" s="68" t="str">
        <f>IFERROR(__xludf.DUMMYFUNCTION("""COMPUTED_VALUE"""),"Eventos da Área")</f>
        <v>Eventos da Área</v>
      </c>
      <c r="B37" s="57" t="str">
        <f>IFERROR(__xludf.DUMMYFUNCTION("""COMPUTED_VALUE"""),"ECSA")</f>
        <v>ECSA</v>
      </c>
      <c r="C37" s="57" t="str">
        <f>IFERROR(__xludf.DUMMYFUNCTION("""COMPUTED_VALUE"""),"European Conference on Software Architecture")</f>
        <v>European Conference on Software Architecture</v>
      </c>
      <c r="D37" s="136">
        <f>IFERROR(__xludf.DUMMYFUNCTION("""COMPUTED_VALUE"""),20.0)</f>
        <v>20</v>
      </c>
      <c r="E37" s="59" t="str">
        <f>IFERROR(__xludf.DUMMYFUNCTION("""COMPUTED_VALUE"""),"https://scholar.google.com/citations?hl=en&amp;view_op=list_hcore&amp;venue=hbCKVuECYrEJ.2024")</f>
        <v>https://scholar.google.com/citations?hl=en&amp;view_op=list_hcore&amp;venue=hbCKVuECYrEJ.2024</v>
      </c>
      <c r="F37" s="57"/>
      <c r="I37" s="60" t="str">
        <f>IFERROR(__xludf.DUMMYFUNCTION("""COMPUTED_VALUE"""),"https://dblp.org/db/conf/ecsa/index.html")</f>
        <v>https://dblp.org/db/conf/ecsa/index.html</v>
      </c>
    </row>
    <row r="38">
      <c r="A38" s="68" t="str">
        <f>IFERROR(__xludf.DUMMYFUNCTION("""COMPUTED_VALUE"""),"Eventos da Área")</f>
        <v>Eventos da Área</v>
      </c>
      <c r="B38" s="57" t="str">
        <f>IFERROR(__xludf.DUMMYFUNCTION("""COMPUTED_VALUE"""),"ICEIS")</f>
        <v>ICEIS</v>
      </c>
      <c r="C38" s="57" t="str">
        <f>IFERROR(__xludf.DUMMYFUNCTION("""COMPUTED_VALUE"""),"International Conference on Enterprise Information Systems")</f>
        <v>International Conference on Enterprise Information Systems</v>
      </c>
      <c r="D38" s="136">
        <f>IFERROR(__xludf.DUMMYFUNCTION("""COMPUTED_VALUE"""),21.0)</f>
        <v>21</v>
      </c>
      <c r="E38" s="59" t="str">
        <f>IFERROR(__xludf.DUMMYFUNCTION("""COMPUTED_VALUE"""),"https://scholar.google.com/citations?hl=en&amp;view_op=list_hcore&amp;venue=zsGWp1QJr3AJ.2024")</f>
        <v>https://scholar.google.com/citations?hl=en&amp;view_op=list_hcore&amp;venue=zsGWp1QJr3AJ.2024</v>
      </c>
      <c r="F38" s="57"/>
      <c r="H38" t="str">
        <f>IFERROR(__xludf.DUMMYFUNCTION("""COMPUTED_VALUE"""),"International Conference on Enterprise Information Systems (ICEIS)")</f>
        <v>International Conference on Enterprise Information Systems (ICEIS)</v>
      </c>
      <c r="I38" s="60" t="str">
        <f>IFERROR(__xludf.DUMMYFUNCTION("""COMPUTED_VALUE"""),"https://dblp.org/db/conf/iceis/index.html")</f>
        <v>https://dblp.org/db/conf/iceis/index.html</v>
      </c>
    </row>
    <row r="39">
      <c r="A39" s="68" t="str">
        <f>IFERROR(__xludf.DUMMYFUNCTION("""COMPUTED_VALUE"""),"Eventos da Área")</f>
        <v>Eventos da Área</v>
      </c>
      <c r="B39" s="57" t="str">
        <f>IFERROR(__xludf.DUMMYFUNCTION("""COMPUTED_VALUE"""),"SEAMS")</f>
        <v>SEAMS</v>
      </c>
      <c r="C39" s="57" t="str">
        <f>IFERROR(__xludf.DUMMYFUNCTION("""COMPUTED_VALUE"""),"International Symposium on Software Engineering for Adaptive and Self-Managing Systems")</f>
        <v>International Symposium on Software Engineering for Adaptive and Self-Managing Systems</v>
      </c>
      <c r="D39" s="136">
        <f>IFERROR(__xludf.DUMMYFUNCTION("""COMPUTED_VALUE"""),21.0)</f>
        <v>21</v>
      </c>
      <c r="E39" s="59" t="str">
        <f>IFERROR(__xludf.DUMMYFUNCTION("""COMPUTED_VALUE"""),"https://scholar.google.com/citations?hl=en&amp;view_op=list_hcore&amp;venue=-CeAPmbJYRoJ.2024")</f>
        <v>https://scholar.google.com/citations?hl=en&amp;view_op=list_hcore&amp;venue=-CeAPmbJYRoJ.2024</v>
      </c>
      <c r="F39" s="57"/>
      <c r="H39" t="str">
        <f>IFERROR(__xludf.DUMMYFUNCTION("""COMPUTED_VALUE"""),"Symposium on Software Engineering for Adaptive and Self-Managing Systems")</f>
        <v>Symposium on Software Engineering for Adaptive and Self-Managing Systems</v>
      </c>
      <c r="I39" s="60" t="str">
        <f>IFERROR(__xludf.DUMMYFUNCTION("""COMPUTED_VALUE"""),"https://dblp.org/db/conf/seams/index.html")</f>
        <v>https://dblp.org/db/conf/seams/index.html</v>
      </c>
    </row>
    <row r="40">
      <c r="A40" s="68" t="str">
        <f>IFERROR(__xludf.DUMMYFUNCTION("""COMPUTED_VALUE"""),"Eventos da Área")</f>
        <v>Eventos da Área</v>
      </c>
      <c r="B40" s="57" t="str">
        <f>IFERROR(__xludf.DUMMYFUNCTION("""COMPUTED_VALUE"""),"SWQD")</f>
        <v>SWQD</v>
      </c>
      <c r="C40" s="57" t="str">
        <f>IFERROR(__xludf.DUMMYFUNCTION("""COMPUTED_VALUE"""),"Conference Software Quality Days")</f>
        <v>Conference Software Quality Days</v>
      </c>
      <c r="D40" s="136">
        <f>IFERROR(__xludf.DUMMYFUNCTION("""COMPUTED_VALUE"""),13.0)</f>
        <v>13</v>
      </c>
      <c r="E40" s="59" t="str">
        <f>IFERROR(__xludf.DUMMYFUNCTION("""COMPUTED_VALUE"""),"https://scholar.google.com/scholar?q=source%3AInternational+source%3Aconference+source%3Aon+source%3ASoftware+source%3AQuality&amp;hl=pt-BR&amp;as_sdt=0%2C5&amp;as_ylo=2020&amp;as_yhi=2024")</f>
        <v>https://scholar.google.com/scholar?q=source%3AInternational+source%3Aconference+source%3Aon+source%3ASoftware+source%3AQuality&amp;hl=pt-BR&amp;as_sdt=0%2C5&amp;as_ylo=2020&amp;as_yhi=2024</v>
      </c>
      <c r="F40" s="57"/>
      <c r="I40" s="60" t="str">
        <f>IFERROR(__xludf.DUMMYFUNCTION("""COMPUTED_VALUE"""),"https://dblp.org/db/conf/swqd/index.html")</f>
        <v>https://dblp.org/db/conf/swqd/index.html</v>
      </c>
    </row>
    <row r="41">
      <c r="A41" s="68" t="str">
        <f>IFERROR(__xludf.DUMMYFUNCTION("""COMPUTED_VALUE"""),"Eventos da Área")</f>
        <v>Eventos da Área</v>
      </c>
      <c r="B41" s="57" t="str">
        <f>IFERROR(__xludf.DUMMYFUNCTION("""COMPUTED_VALUE"""),"MOBILESoft")</f>
        <v>MOBILESoft</v>
      </c>
      <c r="C41" s="57" t="str">
        <f>IFERROR(__xludf.DUMMYFUNCTION("""COMPUTED_VALUE"""),"International Conference on Mobile Software Engineering and Systems")</f>
        <v>International Conference on Mobile Software Engineering and Systems</v>
      </c>
      <c r="D41" s="136">
        <f>IFERROR(__xludf.DUMMYFUNCTION("""COMPUTED_VALUE"""),11.0)</f>
        <v>11</v>
      </c>
      <c r="E41" s="59" t="str">
        <f>IFERROR(__xludf.DUMMYFUNCTION("""COMPUTED_VALUE"""),"https://scholar.google.com/scholar?q=source%3AInternational+source%3AConference+source%3Aon+source%3AMobile+source%3ASoftware+source%3AEngineering+source%3Aand+source%3ASystems&amp;hl=pt-BR&amp;as_sdt=0%2C5&amp;as_ylo=2020&amp;as_yhi=2024")</f>
        <v>https://scholar.google.com/scholar?q=source%3AInternational+source%3AConference+source%3Aon+source%3AMobile+source%3ASoftware+source%3AEngineering+source%3Aand+source%3ASystems&amp;hl=pt-BR&amp;as_sdt=0%2C5&amp;as_ylo=2020&amp;as_yhi=2024</v>
      </c>
      <c r="F41" s="57"/>
      <c r="I41" s="60" t="str">
        <f>IFERROR(__xludf.DUMMYFUNCTION("""COMPUTED_VALUE"""),"https://dblp.org/db/conf/mobilesoft/index.html")</f>
        <v>https://dblp.org/db/conf/mobilesoft/index.html</v>
      </c>
    </row>
    <row r="42">
      <c r="A42" s="68" t="str">
        <f>IFERROR(__xludf.DUMMYFUNCTION("""COMPUTED_VALUE"""),"Eventos da Área")</f>
        <v>Eventos da Área</v>
      </c>
      <c r="B42" s="138" t="str">
        <f>IFERROR(__xludf.DUMMYFUNCTION("""COMPUTED_VALUE"""),"CSEE&amp;T")</f>
        <v>CSEE&amp;T</v>
      </c>
      <c r="C42" s="138" t="str">
        <f>IFERROR(__xludf.DUMMYFUNCTION("""COMPUTED_VALUE"""),"Conference on Software Engineering Education and Training")</f>
        <v>Conference on Software Engineering Education and Training</v>
      </c>
      <c r="D42" s="140">
        <f>IFERROR(__xludf.DUMMYFUNCTION("""COMPUTED_VALUE"""),10.0)</f>
        <v>10</v>
      </c>
      <c r="E42" s="59" t="str">
        <f>IFERROR(__xludf.DUMMYFUNCTION("""COMPUTED_VALUE"""),"https://scholar.google.com/scholar?q=source%3AConference+source%3ASoftware+source%3AEngineering+source%3AEducation+source%3ATraining+source%3ACSEE%26T&amp;hl=pt-BR&amp;as_sdt=0%2C5&amp;as_ylo=2020&amp;as_yhi=2024")</f>
        <v>https://scholar.google.com/scholar?q=source%3AConference+source%3ASoftware+source%3AEngineering+source%3AEducation+source%3ATraining+source%3ACSEE%26T&amp;hl=pt-BR&amp;as_sdt=0%2C5&amp;as_ylo=2020&amp;as_yhi=2024</v>
      </c>
      <c r="F42" s="57"/>
      <c r="I42" s="60" t="str">
        <f>IFERROR(__xludf.DUMMYFUNCTION("""COMPUTED_VALUE"""),"https://dblp.org/db/conf/csee/index.html")</f>
        <v>https://dblp.org/db/conf/csee/index.html</v>
      </c>
    </row>
    <row r="43">
      <c r="A43" s="68" t="str">
        <f>IFERROR(__xludf.DUMMYFUNCTION("""COMPUTED_VALUE"""),"Eventos da Área")</f>
        <v>Eventos da Área</v>
      </c>
      <c r="B43" s="138" t="str">
        <f>IFERROR(__xludf.DUMMYFUNCTION("""COMPUTED_VALUE"""),"ICSE-SEET")</f>
        <v>ICSE-SEET</v>
      </c>
      <c r="C43" s="138" t="str">
        <f>IFERROR(__xludf.DUMMYFUNCTION("""COMPUTED_VALUE"""),"ACM International Conference on Software Engineering: Software Engineering Education and Training")</f>
        <v>ACM International Conference on Software Engineering: Software Engineering Education and Training</v>
      </c>
      <c r="D43" s="140">
        <f>IFERROR(__xludf.DUMMYFUNCTION("""COMPUTED_VALUE"""),21.0)</f>
        <v>21</v>
      </c>
      <c r="E43" s="59" t="str">
        <f>IFERROR(__xludf.DUMMYFUNCTION("""COMPUTED_VALUE"""),"https://scholar.google.com/citations?hl=en&amp;view_op=list_hcore&amp;venue=yIZ19I9U66oJ.2024")</f>
        <v>https://scholar.google.com/citations?hl=en&amp;view_op=list_hcore&amp;venue=yIZ19I9U66oJ.2024</v>
      </c>
      <c r="F43" s="57"/>
      <c r="I43" s="60" t="str">
        <f>IFERROR(__xludf.DUMMYFUNCTION("""COMPUTED_VALUE"""),"https://dblp.org/db/conf/icse/index.html")</f>
        <v>https://dblp.org/db/conf/icse/index.html</v>
      </c>
    </row>
    <row r="44">
      <c r="A44" s="68" t="str">
        <f>IFERROR(__xludf.DUMMYFUNCTION("""COMPUTED_VALUE"""),"Eventos da Área")</f>
        <v>Eventos da Área</v>
      </c>
      <c r="B44" s="138" t="str">
        <f>IFERROR(__xludf.DUMMYFUNCTION("""COMPUTED_VALUE"""),"ICSE-SEIP")</f>
        <v>ICSE-SEIP</v>
      </c>
      <c r="C44" s="138" t="str">
        <f>IFERROR(__xludf.DUMMYFUNCTION("""COMPUTED_VALUE"""),"ACM International Conference on Software Engineering: Software Engineering in Practice")</f>
        <v>ACM International Conference on Software Engineering: Software Engineering in Practice</v>
      </c>
      <c r="D44" s="140">
        <f>IFERROR(__xludf.DUMMYFUNCTION("""COMPUTED_VALUE"""),32.0)</f>
        <v>32</v>
      </c>
      <c r="E44" s="59" t="str">
        <f>IFERROR(__xludf.DUMMYFUNCTION("""COMPUTED_VALUE"""),"https://scholar.google.com/citations?hl=en&amp;view_op=list_hcore&amp;venue=BlizIY9N_gYJ.2024")</f>
        <v>https://scholar.google.com/citations?hl=en&amp;view_op=list_hcore&amp;venue=BlizIY9N_gYJ.2024</v>
      </c>
      <c r="F44" s="57"/>
      <c r="I44" s="60" t="str">
        <f>IFERROR(__xludf.DUMMYFUNCTION("""COMPUTED_VALUE"""),"https://dblp.org/db/conf/icse/index.html")</f>
        <v>https://dblp.org/db/conf/icse/index.html</v>
      </c>
    </row>
    <row r="45">
      <c r="A45" s="68" t="str">
        <f>IFERROR(__xludf.DUMMYFUNCTION("""COMPUTED_VALUE"""),"Eventos da Área")</f>
        <v>Eventos da Área</v>
      </c>
      <c r="B45" s="138" t="str">
        <f>IFERROR(__xludf.DUMMYFUNCTION("""COMPUTED_VALUE"""),"ICSE-NIER")</f>
        <v>ICSE-NIER</v>
      </c>
      <c r="C45" s="138" t="str">
        <f>IFERROR(__xludf.DUMMYFUNCTION("""COMPUTED_VALUE"""),"ACM International Conference on Software Engineering: New Ideas and Emerging Results")</f>
        <v>ACM International Conference on Software Engineering: New Ideas and Emerging Results</v>
      </c>
      <c r="D45" s="140">
        <f>IFERROR(__xludf.DUMMYFUNCTION("""COMPUTED_VALUE"""),22.0)</f>
        <v>22</v>
      </c>
      <c r="E45" s="59" t="str">
        <f>IFERROR(__xludf.DUMMYFUNCTION("""COMPUTED_VALUE"""),"https://scholar.google.com/citations?hl=en&amp;view_op=list_hcore&amp;venue=O2nPvVo1E_MJ.2024")</f>
        <v>https://scholar.google.com/citations?hl=en&amp;view_op=list_hcore&amp;venue=O2nPvVo1E_MJ.2024</v>
      </c>
      <c r="F45" s="57"/>
      <c r="I45" s="60" t="str">
        <f>IFERROR(__xludf.DUMMYFUNCTION("""COMPUTED_VALUE"""),"https://dblp.org/db/conf/icse/index.html")</f>
        <v>https://dblp.org/db/conf/icse/index.html</v>
      </c>
    </row>
    <row r="46">
      <c r="A46" s="68" t="str">
        <f>IFERROR(__xludf.DUMMYFUNCTION("""COMPUTED_VALUE"""),"Eventos da Área")</f>
        <v>Eventos da Área</v>
      </c>
      <c r="B46" s="138" t="str">
        <f>IFERROR(__xludf.DUMMYFUNCTION("""COMPUTED_VALUE"""),"ICSSP")</f>
        <v>ICSSP</v>
      </c>
      <c r="C46" s="138" t="str">
        <f>IFERROR(__xludf.DUMMYFUNCTION("""COMPUTED_VALUE"""),"International Conference on Software and Systems Process")</f>
        <v>International Conference on Software and Systems Process</v>
      </c>
      <c r="D46" s="140">
        <f>IFERROR(__xludf.DUMMYFUNCTION("""COMPUTED_VALUE"""),6.0)</f>
        <v>6</v>
      </c>
      <c r="E46" s="59" t="str">
        <f>IFERROR(__xludf.DUMMYFUNCTION("""COMPUTED_VALUE"""),"https://scholar.google.com/scholar?q=%28source%3AInternational+source%3AConference+source%3Aon+source%3ASoftware+source%3Aand+source%3ASystem+source%3AProcess%29+OR+%28source%3AICSSP%29&amp;hl=en&amp;as_sdt=0%2C3&amp;as_ylo=2020&amp;as_yhi=2024")</f>
        <v>https://scholar.google.com/scholar?q=%28source%3AInternational+source%3AConference+source%3Aon+source%3ASoftware+source%3Aand+source%3ASystem+source%3AProcess%29+OR+%28source%3AICSSP%29&amp;hl=en&amp;as_sdt=0%2C3&amp;as_ylo=2020&amp;as_yhi=2024</v>
      </c>
      <c r="F46" s="57"/>
      <c r="I46" s="60" t="str">
        <f>IFERROR(__xludf.DUMMYFUNCTION("""COMPUTED_VALUE"""),"https://dblp.org/db/conf/ispw/index.html")</f>
        <v>https://dblp.org/db/conf/ispw/index.html</v>
      </c>
    </row>
    <row r="47">
      <c r="A47" s="68" t="str">
        <f>IFERROR(__xludf.DUMMYFUNCTION("""COMPUTED_VALUE"""),"Eventos da Área")</f>
        <v>Eventos da Área</v>
      </c>
      <c r="B47" s="138" t="str">
        <f>IFERROR(__xludf.DUMMYFUNCTION("""COMPUTED_VALUE"""),"FASE")</f>
        <v>FASE</v>
      </c>
      <c r="C47" s="138" t="str">
        <f>IFERROR(__xludf.DUMMYFUNCTION("""COMPUTED_VALUE"""),"International Conference on Fundamental Approaches to Software Engineering")</f>
        <v>International Conference on Fundamental Approaches to Software Engineering</v>
      </c>
      <c r="D47" s="138">
        <f>IFERROR(__xludf.DUMMYFUNCTION("""COMPUTED_VALUE"""),18.0)</f>
        <v>18</v>
      </c>
      <c r="E47" s="59" t="str">
        <f>IFERROR(__xludf.DUMMYFUNCTION("""COMPUTED_VALUE"""),"https://scholar.google.com/citations?hl=en&amp;view_op=list_hcore&amp;venue=Z3vTc_eaJhAJ.2024 ")</f>
        <v>https://scholar.google.com/citations?hl=en&amp;view_op=list_hcore&amp;venue=Z3vTc_eaJhAJ.2024 </v>
      </c>
      <c r="F47" s="57"/>
      <c r="H47" t="str">
        <f>IFERROR(__xludf.DUMMYFUNCTION("""COMPUTED_VALUE"""),"Fundamental Approaches to Software Engineering")</f>
        <v>Fundamental Approaches to Software Engineering</v>
      </c>
      <c r="I47" s="60" t="str">
        <f>IFERROR(__xludf.DUMMYFUNCTION("""COMPUTED_VALUE"""),"https://dblp.org/db/conf/fase/index.html")</f>
        <v>https://dblp.org/db/conf/fase/index.html</v>
      </c>
    </row>
    <row r="48">
      <c r="A48" s="68" t="str">
        <f>IFERROR(__xludf.DUMMYFUNCTION("""COMPUTED_VALUE"""),"Eventos da Área")</f>
        <v>Eventos da Área</v>
      </c>
      <c r="B48" s="57" t="str">
        <f>IFERROR(__xludf.DUMMYFUNCTION("""COMPUTED_VALUE"""),"PLOP")</f>
        <v>PLOP</v>
      </c>
      <c r="C48" s="57" t="str">
        <f>IFERROR(__xludf.DUMMYFUNCTION("""COMPUTED_VALUE"""),"Conference on Pattern Languages of Programs")</f>
        <v>Conference on Pattern Languages of Programs</v>
      </c>
      <c r="D48" s="57">
        <f>IFERROR(__xludf.DUMMYFUNCTION("""COMPUTED_VALUE"""),12.0)</f>
        <v>12</v>
      </c>
      <c r="E48" s="59" t="str">
        <f>IFERROR(__xludf.DUMMYFUNCTION("""COMPUTED_VALUE"""),"https://scholar.google.com/scholar?q=source%3AConference+source%3Aon+source%3APattern+source%3ALanguages+source%3APrograms&amp;hl=pt-BR&amp;as_sdt=0%2C5&amp;as_ylo=2020&amp;as_yhi=2024")</f>
        <v>https://scholar.google.com/scholar?q=source%3AConference+source%3Aon+source%3APattern+source%3ALanguages+source%3APrograms&amp;hl=pt-BR&amp;as_sdt=0%2C5&amp;as_ylo=2020&amp;as_yhi=2024</v>
      </c>
      <c r="F48" s="57"/>
      <c r="I48" s="60" t="str">
        <f>IFERROR(__xludf.DUMMYFUNCTION("""COMPUTED_VALUE"""),"https://dblp.org/db/conf/plop/index.html")</f>
        <v>https://dblp.org/db/conf/plop/index.html</v>
      </c>
    </row>
    <row r="49">
      <c r="A49" s="68" t="str">
        <f>IFERROR(__xludf.DUMMYFUNCTION("""COMPUTED_VALUE"""),"Eventos da Área")</f>
        <v>Eventos da Área</v>
      </c>
      <c r="B49" s="57" t="str">
        <f>IFERROR(__xludf.DUMMYFUNCTION("""COMPUTED_VALUE"""),"ICWE")</f>
        <v>ICWE</v>
      </c>
      <c r="C49" s="57" t="str">
        <f>IFERROR(__xludf.DUMMYFUNCTION("""COMPUTED_VALUE"""),"International Conference on Web Engineering")</f>
        <v>International Conference on Web Engineering</v>
      </c>
      <c r="D49" s="57">
        <f>IFERROR(__xludf.DUMMYFUNCTION("""COMPUTED_VALUE"""),15.0)</f>
        <v>15</v>
      </c>
      <c r="E49" s="59" t="str">
        <f>IFERROR(__xludf.DUMMYFUNCTION("""COMPUTED_VALUE"""),"https://scholar.google.com/citations?hl=en&amp;view_op=list_hcore&amp;venue=I8L8xmsrq2EJ.2024")</f>
        <v>https://scholar.google.com/citations?hl=en&amp;view_op=list_hcore&amp;venue=I8L8xmsrq2EJ.2024</v>
      </c>
      <c r="F49" s="57"/>
      <c r="H49" t="str">
        <f>IFERROR(__xludf.DUMMYFUNCTION("""COMPUTED_VALUE"""),"International Conference on Web Engineering (ICWE)")</f>
        <v>International Conference on Web Engineering (ICWE)</v>
      </c>
      <c r="I49" s="60" t="str">
        <f>IFERROR(__xludf.DUMMYFUNCTION("""COMPUTED_VALUE"""),"https://dblp.org/db/conf/icwe/index.html")</f>
        <v>https://dblp.org/db/conf/icwe/index.html</v>
      </c>
    </row>
    <row r="50">
      <c r="A50" s="68" t="str">
        <f>IFERROR(__xludf.DUMMYFUNCTION("""COMPUTED_VALUE"""),"Eventos da Área")</f>
        <v>Eventos da Área</v>
      </c>
      <c r="B50" s="57" t="str">
        <f>IFERROR(__xludf.DUMMYFUNCTION("""COMPUTED_VALUE"""),"ENASE")</f>
        <v>ENASE</v>
      </c>
      <c r="C50" s="57" t="str">
        <f>IFERROR(__xludf.DUMMYFUNCTION("""COMPUTED_VALUE"""),"Evaluation of Novel Approaches to Software Engineering")</f>
        <v>Evaluation of Novel Approaches to Software Engineering</v>
      </c>
      <c r="D50" s="57">
        <f>IFERROR(__xludf.DUMMYFUNCTION("""COMPUTED_VALUE"""),15.0)</f>
        <v>15</v>
      </c>
      <c r="E50" s="59" t="str">
        <f>IFERROR(__xludf.DUMMYFUNCTION("""COMPUTED_VALUE"""),"https://scholar.google.com/citations?hl=en&amp;view_op=list_hcore&amp;venue=Q2z8twK6gqAJ.2024")</f>
        <v>https://scholar.google.com/citations?hl=en&amp;view_op=list_hcore&amp;venue=Q2z8twK6gqAJ.2024</v>
      </c>
      <c r="F50" s="57"/>
      <c r="H50" t="str">
        <f>IFERROR(__xludf.DUMMYFUNCTION("""COMPUTED_VALUE"""),"Evaluation of Novel Approaches to Software Engineering (ENASE)")</f>
        <v>Evaluation of Novel Approaches to Software Engineering (ENASE)</v>
      </c>
      <c r="I50" s="60" t="str">
        <f>IFERROR(__xludf.DUMMYFUNCTION("""COMPUTED_VALUE"""),"https://dblp.org/db/conf/enase/index.html")</f>
        <v>https://dblp.org/db/conf/enase/index.html</v>
      </c>
    </row>
    <row r="51">
      <c r="A51" s="68" t="str">
        <f>IFERROR(__xludf.DUMMYFUNCTION("""COMPUTED_VALUE"""),"Eventos da Área")</f>
        <v>Eventos da Área</v>
      </c>
      <c r="B51" s="57" t="str">
        <f>IFERROR(__xludf.DUMMYFUNCTION("""COMPUTED_VALUE"""),"AST")</f>
        <v>AST</v>
      </c>
      <c r="C51" s="57" t="str">
        <f>IFERROR(__xludf.DUMMYFUNCTION("""COMPUTED_VALUE"""),"IEEE/ACM International Workshop on Automation of Software Testing")</f>
        <v>IEEE/ACM International Workshop on Automation of Software Testing</v>
      </c>
      <c r="D51" s="57">
        <f>IFERROR(__xludf.DUMMYFUNCTION("""COMPUTED_VALUE"""),13.0)</f>
        <v>13</v>
      </c>
      <c r="E51" s="59" t="str">
        <f>IFERROR(__xludf.DUMMYFUNCTION("""COMPUTED_VALUE"""),"https://scholar.google.com/scholar?q=source%3AInternational+source%3Aon+source%3AAutomation+source%3Aof+source%3ASoftware+source%3ATest&amp;hl=en&amp;as_sdt=0%2C3&amp;as_ylo=2020&amp;as_yhi=2024")</f>
        <v>https://scholar.google.com/scholar?q=source%3AInternational+source%3Aon+source%3AAutomation+source%3Aof+source%3ASoftware+source%3ATest&amp;hl=en&amp;as_sdt=0%2C3&amp;as_ylo=2020&amp;as_yhi=2024</v>
      </c>
      <c r="F51" s="57"/>
      <c r="I51" s="60" t="str">
        <f>IFERROR(__xludf.DUMMYFUNCTION("""COMPUTED_VALUE"""),"https://dblp.org/db/conf/ast/index.html")</f>
        <v>https://dblp.org/db/conf/ast/index.html</v>
      </c>
    </row>
    <row r="52">
      <c r="A52" s="68" t="str">
        <f>IFERROR(__xludf.DUMMYFUNCTION("""COMPUTED_VALUE"""),"Eventos da Área")</f>
        <v>Eventos da Área</v>
      </c>
      <c r="B52" s="57" t="str">
        <f>IFERROR(__xludf.DUMMYFUNCTION("""COMPUTED_VALUE"""),"EUROPLOP")</f>
        <v>EUROPLOP</v>
      </c>
      <c r="C52" s="57" t="str">
        <f>IFERROR(__xludf.DUMMYFUNCTION("""COMPUTED_VALUE"""),"European Conference on Pattern Languages of Programs")</f>
        <v>European Conference on Pattern Languages of Programs</v>
      </c>
      <c r="D52" s="138">
        <f>IFERROR(__xludf.DUMMYFUNCTION("""COMPUTED_VALUE"""),13.0)</f>
        <v>13</v>
      </c>
      <c r="E52" s="59" t="str">
        <f>IFERROR(__xludf.DUMMYFUNCTION("""COMPUTED_VALUE"""),"https://scholar.google.com/citations?hl=en&amp;view_op=list_hcore&amp;venue=G6KgE6kxOP8J.2024")</f>
        <v>https://scholar.google.com/citations?hl=en&amp;view_op=list_hcore&amp;venue=G6KgE6kxOP8J.2024</v>
      </c>
      <c r="F52" s="57"/>
      <c r="I52" s="60" t="str">
        <f>IFERROR(__xludf.DUMMYFUNCTION("""COMPUTED_VALUE"""),"https://dblp.org/db/conf/europlop/index.html")</f>
        <v>https://dblp.org/db/conf/europlop/index.html</v>
      </c>
    </row>
    <row r="53">
      <c r="A53" s="68" t="str">
        <f>IFERROR(__xludf.DUMMYFUNCTION("""COMPUTED_VALUE"""),"Eventos da Área")</f>
        <v>Eventos da Área</v>
      </c>
      <c r="B53" s="57" t="str">
        <f>IFERROR(__xludf.DUMMYFUNCTION("""COMPUTED_VALUE"""),"ICGSE")</f>
        <v>ICGSE</v>
      </c>
      <c r="C53" s="57" t="str">
        <f>IFERROR(__xludf.DUMMYFUNCTION("""COMPUTED_VALUE"""),"IEEE International Conference on Global Software Engineering")</f>
        <v>IEEE International Conference on Global Software Engineering</v>
      </c>
      <c r="D53" s="138">
        <f>IFERROR(__xludf.DUMMYFUNCTION("""COMPUTED_VALUE"""),12.0)</f>
        <v>12</v>
      </c>
      <c r="E53" s="59" t="str">
        <f>IFERROR(__xludf.DUMMYFUNCTION("""COMPUTED_VALUE"""),"https://scholar.google.com/scholar?q=source%3AInternational+source%3AConference+source%3AGlobal+source%3ASoftware+source%3AEngineering&amp;hl=pt-BR&amp;as_sdt=0%2C5&amp;as_ylo=2020&amp;as_yhi=2024")</f>
        <v>https://scholar.google.com/scholar?q=source%3AInternational+source%3AConference+source%3AGlobal+source%3ASoftware+source%3AEngineering&amp;hl=pt-BR&amp;as_sdt=0%2C5&amp;as_ylo=2020&amp;as_yhi=2024</v>
      </c>
      <c r="F53" s="57"/>
      <c r="I53" s="60" t="str">
        <f>IFERROR(__xludf.DUMMYFUNCTION("""COMPUTED_VALUE"""),"https://dblp.org/db/conf/icgse/index.html")</f>
        <v>https://dblp.org/db/conf/icgse/index.html</v>
      </c>
    </row>
    <row r="54">
      <c r="A54" s="68" t="str">
        <f>IFERROR(__xludf.DUMMYFUNCTION("""COMPUTED_VALUE"""),"Eventos da Área")</f>
        <v>Eventos da Área</v>
      </c>
      <c r="B54" s="57" t="str">
        <f>IFERROR(__xludf.DUMMYFUNCTION("""COMPUTED_VALUE"""),"SEKE")</f>
        <v>SEKE</v>
      </c>
      <c r="C54" s="57" t="str">
        <f>IFERROR(__xludf.DUMMYFUNCTION("""COMPUTED_VALUE"""),"International Conference on Software Engineering and Knowledge Engineering")</f>
        <v>International Conference on Software Engineering and Knowledge Engineering</v>
      </c>
      <c r="D54" s="57">
        <f>IFERROR(__xludf.DUMMYFUNCTION("""COMPUTED_VALUE"""),14.0)</f>
        <v>14</v>
      </c>
      <c r="E54" s="59" t="str">
        <f>IFERROR(__xludf.DUMMYFUNCTION("""COMPUTED_VALUE"""),"https://scholar.google.com/citations?hl=en&amp;view_op=list_hcore&amp;venue=JQUkUFehKJAJ.2024")</f>
        <v>https://scholar.google.com/citations?hl=en&amp;view_op=list_hcore&amp;venue=JQUkUFehKJAJ.2024</v>
      </c>
      <c r="F54" s="57"/>
      <c r="H54" t="str">
        <f>IFERROR(__xludf.DUMMYFUNCTION("""COMPUTED_VALUE"""),"International Conference on Software Engineering and Knowledge Engineering (SEKE)")</f>
        <v>International Conference on Software Engineering and Knowledge Engineering (SEKE)</v>
      </c>
      <c r="I54" s="60" t="str">
        <f>IFERROR(__xludf.DUMMYFUNCTION("""COMPUTED_VALUE"""),"https://dblp.org/db/conf/seke/index.html")</f>
        <v>https://dblp.org/db/conf/seke/index.html</v>
      </c>
    </row>
    <row r="55">
      <c r="A55" s="68" t="str">
        <f>IFERROR(__xludf.DUMMYFUNCTION("""COMPUTED_VALUE"""),"Eventos da Área")</f>
        <v>Eventos da Área</v>
      </c>
      <c r="B55" s="57" t="str">
        <f>IFERROR(__xludf.DUMMYFUNCTION("""COMPUTED_VALUE"""),"EuroSPI")</f>
        <v>EuroSPI</v>
      </c>
      <c r="C55" s="57" t="str">
        <f>IFERROR(__xludf.DUMMYFUNCTION("""COMPUTED_VALUE"""),"European Conference on Software Process Improvement")</f>
        <v>European Conference on Software Process Improvement</v>
      </c>
      <c r="D55" s="57">
        <f>IFERROR(__xludf.DUMMYFUNCTION("""COMPUTED_VALUE"""),17.0)</f>
        <v>17</v>
      </c>
      <c r="E55" s="59" t="str">
        <f>IFERROR(__xludf.DUMMYFUNCTION("""COMPUTED_VALUE"""),"https://scholar.google.com/citations?hl=en&amp;view_op=list_hcore&amp;venue=NIvUXCf10OgJ.2024")</f>
        <v>https://scholar.google.com/citations?hl=en&amp;view_op=list_hcore&amp;venue=NIvUXCf10OgJ.2024</v>
      </c>
      <c r="F55" s="57"/>
      <c r="H55" t="str">
        <f>IFERROR(__xludf.DUMMYFUNCTION("""COMPUTED_VALUE"""),"Conference on European System &amp; Software Process Improvement and Innovation (EuroSPI)")</f>
        <v>Conference on European System &amp; Software Process Improvement and Innovation (EuroSPI)</v>
      </c>
      <c r="I55" s="60" t="str">
        <f>IFERROR(__xludf.DUMMYFUNCTION("""COMPUTED_VALUE"""),"https://dblp.org/db/conf/eurospi/index.html")</f>
        <v>https://dblp.org/db/conf/eurospi/index.html</v>
      </c>
    </row>
    <row r="56">
      <c r="A56" s="68" t="str">
        <f>IFERROR(__xludf.DUMMYFUNCTION("""COMPUTED_VALUE"""),"Eventos da Área")</f>
        <v>Eventos da Área</v>
      </c>
      <c r="B56" s="57" t="str">
        <f>IFERROR(__xludf.DUMMYFUNCTION("""COMPUTED_VALUE"""),"BotSE")</f>
        <v>BotSE</v>
      </c>
      <c r="C56" s="57" t="str">
        <f>IFERROR(__xludf.DUMMYFUNCTION("""COMPUTED_VALUE"""),"International Workshop on Bots in Software Engineering")</f>
        <v>International Workshop on Bots in Software Engineering</v>
      </c>
      <c r="D56" s="57">
        <f>IFERROR(__xludf.DUMMYFUNCTION("""COMPUTED_VALUE"""),10.0)</f>
        <v>10</v>
      </c>
      <c r="E56" s="59" t="str">
        <f>IFERROR(__xludf.DUMMYFUNCTION("""COMPUTED_VALUE"""),"https://scholar.google.com/scholar?q=source%3AInternational+source%3AWorkshop+source%3Aon+source%3ABots+source%3Ain+source%3ASoftware+source%3AEngineering&amp;hl=en&amp;as_sdt=0%2C3&amp;as_ylo=2020&amp;as_yhi=2024")</f>
        <v>https://scholar.google.com/scholar?q=source%3AInternational+source%3AWorkshop+source%3Aon+source%3ABots+source%3Ain+source%3ASoftware+source%3AEngineering&amp;hl=en&amp;as_sdt=0%2C3&amp;as_ylo=2020&amp;as_yhi=2024</v>
      </c>
      <c r="F56" s="57"/>
      <c r="I56" s="60" t="str">
        <f>IFERROR(__xludf.DUMMYFUNCTION("""COMPUTED_VALUE"""),"https://dblp.org/db/conf/botse-ws/index.html")</f>
        <v>https://dblp.org/db/conf/botse-ws/index.html</v>
      </c>
    </row>
    <row r="57">
      <c r="A57" s="68" t="str">
        <f>IFERROR(__xludf.DUMMYFUNCTION("""COMPUTED_VALUE"""),"Eventos da Área")</f>
        <v>Eventos da Área</v>
      </c>
      <c r="B57" s="57" t="str">
        <f>IFERROR(__xludf.DUMMYFUNCTION("""COMPUTED_VALUE"""),"OpenSym")</f>
        <v>OpenSym</v>
      </c>
      <c r="C57" s="57" t="str">
        <f>IFERROR(__xludf.DUMMYFUNCTION("""COMPUTED_VALUE"""),"International Symposium on Open Collaboration")</f>
        <v>International Symposium on Open Collaboration</v>
      </c>
      <c r="D57" s="57">
        <f>IFERROR(__xludf.DUMMYFUNCTION("""COMPUTED_VALUE"""),10.0)</f>
        <v>10</v>
      </c>
      <c r="E57" s="59" t="str">
        <f>IFERROR(__xludf.DUMMYFUNCTION("""COMPUTED_VALUE"""),"https://scholar.google.com/scholar?q=source%3AInternational+source%3ASymposium+source%3AOpen+source%3ACollaboration&amp;hl=pt-BR&amp;as_sdt=0%2C5&amp;as_ylo=2020&amp;as_yhi=2024")</f>
        <v>https://scholar.google.com/scholar?q=source%3AInternational+source%3ASymposium+source%3AOpen+source%3ACollaboration&amp;hl=pt-BR&amp;as_sdt=0%2C5&amp;as_ylo=2020&amp;as_yhi=2024</v>
      </c>
      <c r="F57" s="57"/>
      <c r="I57" s="60" t="str">
        <f>IFERROR(__xludf.DUMMYFUNCTION("""COMPUTED_VALUE"""),"https://dblp.org/db/conf/wikis/index.html")</f>
        <v>https://dblp.org/db/conf/wikis/index.html</v>
      </c>
    </row>
    <row r="58">
      <c r="A58" s="68" t="str">
        <f>IFERROR(__xludf.DUMMYFUNCTION("""COMPUTED_VALUE"""),"Eventos da Área")</f>
        <v>Eventos da Área</v>
      </c>
      <c r="B58" s="57" t="str">
        <f>IFERROR(__xludf.DUMMYFUNCTION("""COMPUTED_VALUE"""),"OSS")</f>
        <v>OSS</v>
      </c>
      <c r="C58" s="57" t="str">
        <f>IFERROR(__xludf.DUMMYFUNCTION("""COMPUTED_VALUE"""),"International Conference on Open Source Systems")</f>
        <v>International Conference on Open Source Systems</v>
      </c>
      <c r="D58" s="57">
        <f>IFERROR(__xludf.DUMMYFUNCTION("""COMPUTED_VALUE"""),12.0)</f>
        <v>12</v>
      </c>
      <c r="E58" s="59" t="str">
        <f>IFERROR(__xludf.DUMMYFUNCTION("""COMPUTED_VALUE"""),"https://scholar.google.com/scholar?q=source%3AInternational+source%3AConference+source%3AOpen+source%3ASource+source%3ASystems&amp;hl=pt-BR&amp;as_sdt=0%2C5&amp;as_ylo=2020&amp;as_yhi=2024")</f>
        <v>https://scholar.google.com/scholar?q=source%3AInternational+source%3AConference+source%3AOpen+source%3ASource+source%3ASystems&amp;hl=pt-BR&amp;as_sdt=0%2C5&amp;as_ylo=2020&amp;as_yhi=2024</v>
      </c>
      <c r="F58" s="57"/>
      <c r="I58" s="60" t="str">
        <f>IFERROR(__xludf.DUMMYFUNCTION("""COMPUTED_VALUE"""),"https://dblp.org/db/conf/oss/index.html")</f>
        <v>https://dblp.org/db/conf/oss/index.html</v>
      </c>
    </row>
    <row r="59">
      <c r="A59" s="68" t="str">
        <f>IFERROR(__xludf.DUMMYFUNCTION("""COMPUTED_VALUE"""),"Eventos da Área")</f>
        <v>Eventos da Área</v>
      </c>
      <c r="B59" s="57" t="str">
        <f>IFERROR(__xludf.DUMMYFUNCTION("""COMPUTED_VALUE"""),"QUATIC")</f>
        <v>QUATIC</v>
      </c>
      <c r="C59" s="57" t="str">
        <f>IFERROR(__xludf.DUMMYFUNCTION("""COMPUTED_VALUE"""),"International Conference on Quality of Information and Communications Technology")</f>
        <v>International Conference on Quality of Information and Communications Technology</v>
      </c>
      <c r="D59" s="57">
        <f>IFERROR(__xludf.DUMMYFUNCTION("""COMPUTED_VALUE"""),14.0)</f>
        <v>14</v>
      </c>
      <c r="E59" s="59" t="str">
        <f>IFERROR(__xludf.DUMMYFUNCTION("""COMPUTED_VALUE"""),"https://scholar.google.com/citations?hl=en&amp;view_op=list_hcore&amp;venue=p7mJ2vt7AdAJ.2024")</f>
        <v>https://scholar.google.com/citations?hl=en&amp;view_op=list_hcore&amp;venue=p7mJ2vt7AdAJ.2024</v>
      </c>
      <c r="F59" s="57"/>
      <c r="I59" s="60" t="str">
        <f>IFERROR(__xludf.DUMMYFUNCTION("""COMPUTED_VALUE"""),"https://dblp.org/db/conf/quatic/index.html")</f>
        <v>https://dblp.org/db/conf/quatic/index.html</v>
      </c>
    </row>
    <row r="60">
      <c r="A60" s="68" t="str">
        <f>IFERROR(__xludf.DUMMYFUNCTION("""COMPUTED_VALUE"""),"Eventos da Área")</f>
        <v>Eventos da Área</v>
      </c>
      <c r="B60" s="57" t="str">
        <f>IFERROR(__xludf.DUMMYFUNCTION("""COMPUTED_VALUE"""),"SSBSE")</f>
        <v>SSBSE</v>
      </c>
      <c r="C60" s="57" t="str">
        <f>IFERROR(__xludf.DUMMYFUNCTION("""COMPUTED_VALUE"""),"International Symposium on Search Based Software Engineering")</f>
        <v>International Symposium on Search Based Software Engineering</v>
      </c>
      <c r="D60" s="57">
        <f>IFERROR(__xludf.DUMMYFUNCTION("""COMPUTED_VALUE"""),11.0)</f>
        <v>11</v>
      </c>
      <c r="E60" s="59" t="str">
        <f>IFERROR(__xludf.DUMMYFUNCTION("""COMPUTED_VALUE"""),"https://scholar.google.com/scholar?q=source%3AInternational+source%3ASymposium+source%3ASearch+source%3ABased+source%3ASoftware+source%3AEngineering&amp;hl=pt-BR&amp;as_sdt=0%2C5&amp;as_ylo=2020&amp;as_yhi=2024")</f>
        <v>https://scholar.google.com/scholar?q=source%3AInternational+source%3ASymposium+source%3ASearch+source%3ABased+source%3ASoftware+source%3AEngineering&amp;hl=pt-BR&amp;as_sdt=0%2C5&amp;as_ylo=2020&amp;as_yhi=2024</v>
      </c>
      <c r="F60" s="57"/>
      <c r="I60" s="60" t="str">
        <f>IFERROR(__xludf.DUMMYFUNCTION("""COMPUTED_VALUE"""),"https://dblp.org/db/conf/ssbse/index.html")</f>
        <v>https://dblp.org/db/conf/ssbse/index.html</v>
      </c>
    </row>
    <row r="61">
      <c r="A61" s="68" t="str">
        <f>IFERROR(__xludf.DUMMYFUNCTION("""COMPUTED_VALUE"""),"Eventos da Área")</f>
        <v>Eventos da Área</v>
      </c>
      <c r="B61" s="57" t="str">
        <f>IFERROR(__xludf.DUMMYFUNCTION("""COMPUTED_VALUE"""),"VISSOFT")</f>
        <v>VISSOFT</v>
      </c>
      <c r="C61" s="57" t="str">
        <f>IFERROR(__xludf.DUMMYFUNCTION("""COMPUTED_VALUE"""),"IEEE Working Conference on Software Visualization")</f>
        <v>IEEE Working Conference on Software Visualization</v>
      </c>
      <c r="D61" s="57">
        <f>IFERROR(__xludf.DUMMYFUNCTION("""COMPUTED_VALUE"""),10.0)</f>
        <v>10</v>
      </c>
      <c r="E61" s="59" t="str">
        <f>IFERROR(__xludf.DUMMYFUNCTION("""COMPUTED_VALUE"""),"https://scholar.google.com/scholar?q=source%3AIEEE+source%3AWorking+source%3AConference+source%3ASoftware+source%3AVisualization&amp;hl=pt-BR&amp;as_sdt=0%2C5&amp;as_ylo=2020&amp;as_yhi=2024")</f>
        <v>https://scholar.google.com/scholar?q=source%3AIEEE+source%3AWorking+source%3AConference+source%3ASoftware+source%3AVisualization&amp;hl=pt-BR&amp;as_sdt=0%2C5&amp;as_ylo=2020&amp;as_yhi=2024</v>
      </c>
      <c r="F61" s="57"/>
      <c r="I61" s="60" t="str">
        <f>IFERROR(__xludf.DUMMYFUNCTION("""COMPUTED_VALUE"""),"https://dblp.org/db/conf/vissoft/index.html")</f>
        <v>https://dblp.org/db/conf/vissoft/index.html</v>
      </c>
    </row>
    <row r="62">
      <c r="A62" s="68" t="str">
        <f>IFERROR(__xludf.DUMMYFUNCTION("""COMPUTED_VALUE"""),"Eventos da Área")</f>
        <v>Eventos da Área</v>
      </c>
      <c r="B62" s="57" t="str">
        <f>IFERROR(__xludf.DUMMYFUNCTION("""COMPUTED_VALUE"""),"ICSOFT")</f>
        <v>ICSOFT</v>
      </c>
      <c r="C62" s="57" t="str">
        <f>IFERROR(__xludf.DUMMYFUNCTION("""COMPUTED_VALUE"""),"International Conference on Software Technologies")</f>
        <v>International Conference on Software Technologies</v>
      </c>
      <c r="D62" s="57">
        <f>IFERROR(__xludf.DUMMYFUNCTION("""COMPUTED_VALUE"""),13.0)</f>
        <v>13</v>
      </c>
      <c r="E62" s="59" t="str">
        <f>IFERROR(__xludf.DUMMYFUNCTION("""COMPUTED_VALUE"""),"https://scholar.google.com/citations?hl=en&amp;view_op=list_hcore&amp;venue=3zneIArE2G0J.2024")</f>
        <v>https://scholar.google.com/citations?hl=en&amp;view_op=list_hcore&amp;venue=3zneIArE2G0J.2024</v>
      </c>
      <c r="F62" s="57"/>
      <c r="H62" t="str">
        <f>IFERROR(__xludf.DUMMYFUNCTION("""COMPUTED_VALUE"""),"International Joint Conference on Software Technologies (ICSOFT)")</f>
        <v>International Joint Conference on Software Technologies (ICSOFT)</v>
      </c>
      <c r="I62" s="60" t="str">
        <f>IFERROR(__xludf.DUMMYFUNCTION("""COMPUTED_VALUE"""),"https://dblp.org/db/conf/icsoft/index.html")</f>
        <v>https://dblp.org/db/conf/icsoft/index.html</v>
      </c>
    </row>
    <row r="63">
      <c r="A63" s="68" t="str">
        <f>IFERROR(__xludf.DUMMYFUNCTION("""COMPUTED_VALUE"""),"Eventos da Área")</f>
        <v>Eventos da Área</v>
      </c>
      <c r="B63" t="str">
        <f>IFERROR(__xludf.DUMMYFUNCTION("""COMPUTED_VALUE"""),"ICSR")</f>
        <v>ICSR</v>
      </c>
      <c r="C63" t="str">
        <f>IFERROR(__xludf.DUMMYFUNCTION("""COMPUTED_VALUE"""),"International Conference on Software Reuse")</f>
        <v>International Conference on Software Reuse</v>
      </c>
      <c r="D63" s="141">
        <f>IFERROR(__xludf.DUMMYFUNCTION("""COMPUTED_VALUE"""),9.0)</f>
        <v>9</v>
      </c>
      <c r="E63" s="59" t="str">
        <f>IFERROR(__xludf.DUMMYFUNCTION("""COMPUTED_VALUE"""),"https://scholar.google.com/scholar?q=source%3AInternational+source%3AConference+source%3ASoftware+source%3AReuse&amp;hl=pt-BR&amp;as_sdt=0%2C5&amp;as_ylo=2020&amp;as_yhi=2024")</f>
        <v>https://scholar.google.com/scholar?q=source%3AInternational+source%3AConference+source%3ASoftware+source%3AReuse&amp;hl=pt-BR&amp;as_sdt=0%2C5&amp;as_ylo=2020&amp;as_yhi=2024</v>
      </c>
      <c r="I63" s="60" t="str">
        <f>IFERROR(__xludf.DUMMYFUNCTION("""COMPUTED_VALUE"""),"https://dblp.org/db/conf/icsr/index.html")</f>
        <v>https://dblp.org/db/conf/icsr/index.html</v>
      </c>
    </row>
    <row r="64">
      <c r="A64" s="68" t="str">
        <f>IFERROR(__xludf.DUMMYFUNCTION("""COMPUTED_VALUE"""),"Eventos da Área")</f>
        <v>Eventos da Área</v>
      </c>
      <c r="B64" t="str">
        <f>IFERROR(__xludf.DUMMYFUNCTION("""COMPUTED_VALUE"""),"SLE")</f>
        <v>SLE</v>
      </c>
      <c r="C64" t="str">
        <f>IFERROR(__xludf.DUMMYFUNCTION("""COMPUTED_VALUE"""),"ACM SIGPLAN International Conference on Software Language Engineering")</f>
        <v>ACM SIGPLAN International Conference on Software Language Engineering</v>
      </c>
      <c r="D64" s="141">
        <f>IFERROR(__xludf.DUMMYFUNCTION("""COMPUTED_VALUE"""),11.0)</f>
        <v>11</v>
      </c>
      <c r="E64" s="59" t="str">
        <f>IFERROR(__xludf.DUMMYFUNCTION("""COMPUTED_VALUE"""),"https://scholar.google.com/scholar?hl=pt-BR&amp;as_sdt=0%2C5&amp;as_ylo=2020&amp;as_yhi=2024&amp;q=source%3AInternational+source%3AConference+source%3ASoftware+source%3ALanguage+source%3AEngineering&amp;btnG=")</f>
        <v>https://scholar.google.com/scholar?hl=pt-BR&amp;as_sdt=0%2C5&amp;as_ylo=2020&amp;as_yhi=2024&amp;q=source%3AInternational+source%3AConference+source%3ASoftware+source%3ALanguage+source%3AEngineering&amp;btnG=</v>
      </c>
      <c r="I64" s="60" t="str">
        <f>IFERROR(__xludf.DUMMYFUNCTION("""COMPUTED_VALUE"""),"https://dblp.org/db/conf/sle/index.html")</f>
        <v>https://dblp.org/db/conf/sle/index.html</v>
      </c>
    </row>
    <row r="65">
      <c r="A65" s="68" t="str">
        <f>IFERROR(__xludf.DUMMYFUNCTION("""COMPUTED_VALUE"""),"Eventos da Área")</f>
        <v>Eventos da Área</v>
      </c>
      <c r="B65" t="str">
        <f>IFERROR(__xludf.DUMMYFUNCTION("""COMPUTED_VALUE"""),"ICSOB")</f>
        <v>ICSOB</v>
      </c>
      <c r="C65" t="str">
        <f>IFERROR(__xludf.DUMMYFUNCTION("""COMPUTED_VALUE"""),"International Conference on Software Business")</f>
        <v>International Conference on Software Business</v>
      </c>
      <c r="D65" s="141">
        <f>IFERROR(__xludf.DUMMYFUNCTION("""COMPUTED_VALUE"""),13.0)</f>
        <v>13</v>
      </c>
      <c r="E65" s="59" t="str">
        <f>IFERROR(__xludf.DUMMYFUNCTION("""COMPUTED_VALUE"""),"https://scholar.google.com/citations?hl=en&amp;view_op=list_hcore&amp;venue=lySJ7rWrE4EJ.2024")</f>
        <v>https://scholar.google.com/citations?hl=en&amp;view_op=list_hcore&amp;venue=lySJ7rWrE4EJ.2024</v>
      </c>
      <c r="I65" s="60" t="str">
        <f>IFERROR(__xludf.DUMMYFUNCTION("""COMPUTED_VALUE"""),"https://dblp.org/db/conf/icsob/index.html")</f>
        <v>https://dblp.org/db/conf/icsob/index.html</v>
      </c>
    </row>
    <row r="66">
      <c r="A66" s="68" t="str">
        <f>IFERROR(__xludf.DUMMYFUNCTION("""COMPUTED_VALUE"""),"Eventos da Área")</f>
        <v>Eventos da Área</v>
      </c>
      <c r="B66" t="str">
        <f>IFERROR(__xludf.DUMMYFUNCTION("""COMPUTED_VALUE"""),"GPCE")</f>
        <v>GPCE</v>
      </c>
      <c r="C66" t="str">
        <f>IFERROR(__xludf.DUMMYFUNCTION("""COMPUTED_VALUE"""),"ACM International Conference on Generative Programming: Concepts and Experiences")</f>
        <v>ACM International Conference on Generative Programming: Concepts and Experiences</v>
      </c>
      <c r="D66" s="141">
        <f>IFERROR(__xludf.DUMMYFUNCTION("""COMPUTED_VALUE"""),10.0)</f>
        <v>10</v>
      </c>
      <c r="E66" s="59" t="str">
        <f>IFERROR(__xludf.DUMMYFUNCTION("""COMPUTED_VALUE"""),"https://scholar.google.com/scholar?q=source%3AInternational+source%3AConference+source%3AGenerative+source%3AProgramming+source%3AConcepts+source%3AExperiences&amp;hl=pt-BR&amp;as_sdt=0%2C5&amp;as_ylo=2020&amp;as_yhi=2024")</f>
        <v>https://scholar.google.com/scholar?q=source%3AInternational+source%3AConference+source%3AGenerative+source%3AProgramming+source%3AConcepts+source%3AExperiences&amp;hl=pt-BR&amp;as_sdt=0%2C5&amp;as_ylo=2020&amp;as_yhi=2024</v>
      </c>
      <c r="I66" s="60" t="str">
        <f>IFERROR(__xludf.DUMMYFUNCTION("""COMPUTED_VALUE"""),"https://dblp.org/db/conf/gpce/index.html")</f>
        <v>https://dblp.org/db/conf/gpce/index.html</v>
      </c>
    </row>
    <row r="67">
      <c r="A67" s="68" t="str">
        <f>IFERROR(__xludf.DUMMYFUNCTION("""COMPUTED_VALUE"""),"Eventos da Área")</f>
        <v>Eventos da Área</v>
      </c>
      <c r="B67" t="str">
        <f>IFERROR(__xludf.DUMMYFUNCTION("""COMPUTED_VALUE"""),"SESoS")</f>
        <v>SESoS</v>
      </c>
      <c r="C67" t="str">
        <f>IFERROR(__xludf.DUMMYFUNCTION("""COMPUTED_VALUE"""),"International Workshop on Software Engineering for Systems-of-Systems")</f>
        <v>International Workshop on Software Engineering for Systems-of-Systems</v>
      </c>
      <c r="D67" s="141">
        <f>IFERROR(__xludf.DUMMYFUNCTION("""COMPUTED_VALUE"""),5.0)</f>
        <v>5</v>
      </c>
      <c r="E67" s="59" t="str">
        <f>IFERROR(__xludf.DUMMYFUNCTION("""COMPUTED_VALUE"""),"https://scholar.google.com/scholar?q=source%3AInternational+source%3AWorkshop+source%3Aon+source%3ASoftware+source%3AEngineering+source%3Afor+source%3ASystems-of-Systems&amp;hl=pt-BR&amp;as_sdt=0%2C5&amp;as_ylo=2020&amp;as_yhi=2024")</f>
        <v>https://scholar.google.com/scholar?q=source%3AInternational+source%3AWorkshop+source%3Aon+source%3ASoftware+source%3AEngineering+source%3Afor+source%3ASystems-of-Systems&amp;hl=pt-BR&amp;as_sdt=0%2C5&amp;as_ylo=2020&amp;as_yhi=2024</v>
      </c>
      <c r="G67" t="str">
        <f>IFERROR(__xludf.DUMMYFUNCTION("""COMPUTED_VALUE"""),"International Workshop on Software Engineering for Systems-of-Systems and Software Ecosystems")</f>
        <v>International Workshop on Software Engineering for Systems-of-Systems and Software Ecosystems</v>
      </c>
      <c r="I67" s="60" t="str">
        <f>IFERROR(__xludf.DUMMYFUNCTION("""COMPUTED_VALUE"""),"https://dblp.org/db/conf/sessos/index.html")</f>
        <v>https://dblp.org/db/conf/sessos/index.html</v>
      </c>
    </row>
    <row r="68">
      <c r="A68" s="68" t="str">
        <f>IFERROR(__xludf.DUMMYFUNCTION("""COMPUTED_VALUE"""),"Eventos da Área")</f>
        <v>Eventos da Área</v>
      </c>
      <c r="B68" t="str">
        <f>IFERROR(__xludf.DUMMYFUNCTION("""COMPUTED_VALUE"""),"MODRE")</f>
        <v>MODRE</v>
      </c>
      <c r="C68" t="str">
        <f>IFERROR(__xludf.DUMMYFUNCTION("""COMPUTED_VALUE"""),"International Model-Driven Requirements Engineering")</f>
        <v>International Model-Driven Requirements Engineering</v>
      </c>
      <c r="D68" s="141">
        <f>IFERROR(__xludf.DUMMYFUNCTION("""COMPUTED_VALUE"""),16.0)</f>
        <v>16</v>
      </c>
      <c r="E68" s="59" t="str">
        <f>IFERROR(__xludf.DUMMYFUNCTION("""COMPUTED_VALUE"""),"https://scholar.google.com/scholar?hl=pt-BR&amp;as_sdt=0%2C5&amp;as_ylo=2020&amp;as_yhi=2024&amp;q=source%3AInternational+source%3ARequirements+source%3AEngineering+source%3AConference+source%3AWorkshops+source%3AREW&amp;btnG=")</f>
        <v>https://scholar.google.com/scholar?hl=pt-BR&amp;as_sdt=0%2C5&amp;as_ylo=2020&amp;as_yhi=2024&amp;q=source%3AInternational+source%3ARequirements+source%3AEngineering+source%3AConference+source%3AWorkshops+source%3AREW&amp;btnG=</v>
      </c>
      <c r="I68" s="60" t="str">
        <f>IFERROR(__xludf.DUMMYFUNCTION("""COMPUTED_VALUE"""),"https://dblp.org/rec/conf/re/2023w.html")</f>
        <v>https://dblp.org/rec/conf/re/2023w.html</v>
      </c>
    </row>
    <row r="69">
      <c r="A69" s="68" t="str">
        <f>IFERROR(__xludf.DUMMYFUNCTION("""COMPUTED_VALUE"""),"Eventos da Área")</f>
        <v>Eventos da Área</v>
      </c>
      <c r="B69" t="str">
        <f>IFERROR(__xludf.DUMMYFUNCTION("""COMPUTED_VALUE"""),"ISTAR")</f>
        <v>ISTAR</v>
      </c>
      <c r="C69" t="str">
        <f>IFERROR(__xludf.DUMMYFUNCTION("""COMPUTED_VALUE"""),"International i*Workshop")</f>
        <v>International i*Workshop</v>
      </c>
      <c r="D69" s="141">
        <f>IFERROR(__xludf.DUMMYFUNCTION("""COMPUTED_VALUE"""),3.0)</f>
        <v>3</v>
      </c>
      <c r="E69" s="59" t="str">
        <f>IFERROR(__xludf.DUMMYFUNCTION("""COMPUTED_VALUE"""),"https://scholar.google.com/scholar?hl=pt-BR&amp;as_sdt=0%2C5&amp;as_ylo=2020&amp;as_yhi=2024&amp;q=source%3Aistar&amp;btnG=")</f>
        <v>https://scholar.google.com/scholar?hl=pt-BR&amp;as_sdt=0%2C5&amp;as_ylo=2020&amp;as_yhi=2024&amp;q=source%3Aistar&amp;btnG=</v>
      </c>
      <c r="H69" t="str">
        <f>IFERROR(__xludf.DUMMYFUNCTION("""COMPUTED_VALUE"""),"istar")</f>
        <v>istar</v>
      </c>
      <c r="I69" s="60" t="str">
        <f>IFERROR(__xludf.DUMMYFUNCTION("""COMPUTED_VALUE"""),"https://dblp.org/db/conf/istar/index.html")</f>
        <v>https://dblp.org/db/conf/istar/index.html</v>
      </c>
    </row>
    <row r="70">
      <c r="A70" s="68" t="str">
        <f>IFERROR(__xludf.DUMMYFUNCTION("""COMPUTED_VALUE"""),"Eventos da Área")</f>
        <v>Eventos da Área</v>
      </c>
      <c r="B70" t="str">
        <f>IFERROR(__xludf.DUMMYFUNCTION("""COMPUTED_VALUE"""),"SER&amp;IP")</f>
        <v>SER&amp;IP</v>
      </c>
      <c r="C70" t="str">
        <f>IFERROR(__xludf.DUMMYFUNCTION("""COMPUTED_VALUE"""),"IEEE/ACM International Workshop on Software Engineering Research and Industrial Practice")</f>
        <v>IEEE/ACM International Workshop on Software Engineering Research and Industrial Practice</v>
      </c>
      <c r="D70" s="141">
        <f>IFERROR(__xludf.DUMMYFUNCTION("""COMPUTED_VALUE"""),7.0)</f>
        <v>7</v>
      </c>
      <c r="E70" s="59" t="str">
        <f>IFERROR(__xludf.DUMMYFUNCTION("""COMPUTED_VALUE"""),"https://scholar.google.com/scholar?q=source%3AInternational+source%3AWorkshop+source%3Aon+source%3ASoftware+source%3AEngineering+source%3AResearch+source%3Aand+source%3AIndustrial+source%3APractice&amp;hl=pt-BR&amp;as_sdt=0%2C5&amp;as_ylo=2020&amp;as_yhi=2024")</f>
        <v>https://scholar.google.com/scholar?q=source%3AInternational+source%3AWorkshop+source%3Aon+source%3ASoftware+source%3AEngineering+source%3AResearch+source%3Aand+source%3AIndustrial+source%3APractice&amp;hl=pt-BR&amp;as_sdt=0%2C5&amp;as_ylo=2020&amp;as_yhi=2024</v>
      </c>
      <c r="I70" s="60" t="str">
        <f>IFERROR(__xludf.DUMMYFUNCTION("""COMPUTED_VALUE"""),"https://dblp.org/db/conf/serip-ws/index.html")</f>
        <v>https://dblp.org/db/conf/serip-ws/index.html</v>
      </c>
    </row>
    <row r="71">
      <c r="A71" s="68" t="str">
        <f>IFERROR(__xludf.DUMMYFUNCTION("""COMPUTED_VALUE"""),"Eventos da Área")</f>
        <v>Eventos da Área</v>
      </c>
      <c r="B71" t="str">
        <f>IFERROR(__xludf.DUMMYFUNCTION("""COMPUTED_VALUE"""),"WDES")</f>
        <v>WDES</v>
      </c>
      <c r="C71" t="str">
        <f>IFERROR(__xludf.DUMMYFUNCTION("""COMPUTED_VALUE"""),"Workshop on Distributed Software Development, Software Ecosystems and Systems-of-Systems")</f>
        <v>Workshop on Distributed Software Development, Software Ecosystems and Systems-of-Systems</v>
      </c>
      <c r="D71" s="141">
        <f>IFERROR(__xludf.DUMMYFUNCTION("""COMPUTED_VALUE"""),3.0)</f>
        <v>3</v>
      </c>
      <c r="E71" s="59" t="str">
        <f>IFERROR(__xludf.DUMMYFUNCTION("""COMPUTED_VALUE"""),"https://scholar.google.com.br/scholar?q=source%3AWorkshop+source%3Aon+source%3ADistributed+source%3ASoftware+source%3ADevelopment&amp;hl=pt-BR&amp;as_sdt=0%2C5&amp;as_ylo=2020&amp;as_yhi=2024")</f>
        <v>https://scholar.google.com.br/scholar?q=source%3AWorkshop+source%3Aon+source%3ADistributed+source%3ASoftware+source%3ADevelopment&amp;hl=pt-BR&amp;as_sdt=0%2C5&amp;as_ylo=2020&amp;as_yhi=2024</v>
      </c>
      <c r="I71" s="60" t="str">
        <f>IFERROR(__xludf.DUMMYFUNCTION("""COMPUTED_VALUE"""),"https://dblp.org/db/conf/sessos/index.html")</f>
        <v>https://dblp.org/db/conf/sessos/index.html</v>
      </c>
    </row>
    <row r="72">
      <c r="A72" s="68" t="str">
        <f>IFERROR(__xludf.DUMMYFUNCTION("""COMPUTED_VALUE"""),"Eventos da Área")</f>
        <v>Eventos da Área</v>
      </c>
      <c r="B72" t="str">
        <f>IFERROR(__xludf.DUMMYFUNCTION("""COMPUTED_VALUE"""),"WBMA")</f>
        <v>WBMA</v>
      </c>
      <c r="C72" t="str">
        <f>IFERROR(__xludf.DUMMYFUNCTION("""COMPUTED_VALUE"""),"Workshop Brasileiro de Métodos Ágeis")</f>
        <v>Workshop Brasileiro de Métodos Ágeis</v>
      </c>
      <c r="D72" s="141">
        <f>IFERROR(__xludf.DUMMYFUNCTION("""COMPUTED_VALUE"""),2.0)</f>
        <v>2</v>
      </c>
      <c r="E72" s="59" t="str">
        <f>IFERROR(__xludf.DUMMYFUNCTION("""COMPUTED_VALUE"""),"https://scholar.google.com/scholar?q=source%3ABrazilian+source%3AWorkshop+source%3AAgile+source%3AMethods&amp;hl=pt-BR&amp;as_sdt=0%2C5&amp;as_ylo=2020&amp;as_yhi=2024")</f>
        <v>https://scholar.google.com/scholar?q=source%3ABrazilian+source%3AWorkshop+source%3AAgile+source%3AMethods&amp;hl=pt-BR&amp;as_sdt=0%2C5&amp;as_ylo=2020&amp;as_yhi=2024</v>
      </c>
      <c r="I72" s="60" t="str">
        <f>IFERROR(__xludf.DUMMYFUNCTION("""COMPUTED_VALUE"""),"https://dblp.org/db/conf/wbma/index.html")</f>
        <v>https://dblp.org/db/conf/wbma/index.html</v>
      </c>
    </row>
    <row r="73">
      <c r="A73" s="68" t="str">
        <f>IFERROR(__xludf.DUMMYFUNCTION("""COMPUTED_VALUE"""),"Eventos da Área")</f>
        <v>Eventos da Área</v>
      </c>
      <c r="B73" t="str">
        <f>IFERROR(__xludf.DUMMYFUNCTION("""COMPUTED_VALUE"""),"CAIN")</f>
        <v>CAIN</v>
      </c>
      <c r="C73" t="str">
        <f>IFERROR(__xludf.DUMMYFUNCTION("""COMPUTED_VALUE"""),"International Conference on AI Engineering – Software Engineering for AI")</f>
        <v>International Conference on AI Engineering – Software Engineering for AI</v>
      </c>
      <c r="D73" s="141">
        <f>IFERROR(__xludf.DUMMYFUNCTION("""COMPUTED_VALUE"""),13.0)</f>
        <v>13</v>
      </c>
      <c r="E73" s="59" t="str">
        <f>IFERROR(__xludf.DUMMYFUNCTION("""COMPUTED_VALUE"""),"https://scholar.google.com/scholar?q=source%3Ainternational+source%3AConference+source%3Aon+source%3AAI+source%3AEngineering&amp;hl=pt-BR&amp;as_sdt=0%2C5&amp;as_ylo=2020&amp;as_yhi=2024")</f>
        <v>https://scholar.google.com/scholar?q=source%3Ainternational+source%3AConference+source%3Aon+source%3AAI+source%3AEngineering&amp;hl=pt-BR&amp;as_sdt=0%2C5&amp;as_ylo=2020&amp;as_yhi=2024</v>
      </c>
      <c r="I73" s="60" t="str">
        <f>IFERROR(__xludf.DUMMYFUNCTION("""COMPUTED_VALUE"""),"https://dblp.org/db/conf/cain/index.html")</f>
        <v>https://dblp.org/db/conf/cain/index.html</v>
      </c>
    </row>
    <row r="74">
      <c r="A74" s="68" t="str">
        <f>IFERROR(__xludf.DUMMYFUNCTION("""COMPUTED_VALUE"""),"Eventos da Área")</f>
        <v>Eventos da Área</v>
      </c>
      <c r="B74" t="str">
        <f>IFERROR(__xludf.DUMMYFUNCTION("""COMPUTED_VALUE"""),"ICTSS")</f>
        <v>ICTSS</v>
      </c>
      <c r="C74" t="str">
        <f>IFERROR(__xludf.DUMMYFUNCTION("""COMPUTED_VALUE"""),"International Conference on Testing Software and Systems")</f>
        <v>International Conference on Testing Software and Systems</v>
      </c>
      <c r="D74" s="141">
        <f>IFERROR(__xludf.DUMMYFUNCTION("""COMPUTED_VALUE"""),7.0)</f>
        <v>7</v>
      </c>
      <c r="E74" s="59" t="str">
        <f>IFERROR(__xludf.DUMMYFUNCTION("""COMPUTED_VALUE"""),"https://scholar.google.com/scholar?hl=pt-BR&amp;as_sdt=0%2C5&amp;as_ylo=2020&amp;as_yhi=2024&amp;q=source%3AInternational+source%3AConference++source%3ATesting+Software+source%3Aand+source%3ASystems&amp;btnG=")</f>
        <v>https://scholar.google.com/scholar?hl=pt-BR&amp;as_sdt=0%2C5&amp;as_ylo=2020&amp;as_yhi=2024&amp;q=source%3AInternational+source%3AConference++source%3ATesting+Software+source%3Aand+source%3ASystems&amp;btnG=</v>
      </c>
      <c r="I74" s="60" t="str">
        <f>IFERROR(__xludf.DUMMYFUNCTION("""COMPUTED_VALUE"""),"https://dblp.org/db/conf/pts/index.html")</f>
        <v>https://dblp.org/db/conf/pts/index.html</v>
      </c>
    </row>
    <row r="75">
      <c r="A75" s="68" t="str">
        <f>IFERROR(__xludf.DUMMYFUNCTION("""COMPUTED_VALUE"""),"Eventos da Área")</f>
        <v>Eventos da Área</v>
      </c>
      <c r="B75" t="str">
        <f>IFERROR(__xludf.DUMMYFUNCTION("""COMPUTED_VALUE"""),"SEH")</f>
        <v>SEH</v>
      </c>
      <c r="C75" t="str">
        <f>IFERROR(__xludf.DUMMYFUNCTION("""COMPUTED_VALUE"""),"International Workshop on Software Engineering in Healthcare")</f>
        <v>International Workshop on Software Engineering in Healthcare</v>
      </c>
      <c r="D75" s="141">
        <f>IFERROR(__xludf.DUMMYFUNCTION("""COMPUTED_VALUE"""),5.0)</f>
        <v>5</v>
      </c>
      <c r="E75" s="59" t="str">
        <f>IFERROR(__xludf.DUMMYFUNCTION("""COMPUTED_VALUE"""),"https://scholar.google.com/scholar?hl=pt-BR&amp;as_sdt=0%2C5&amp;as_ylo=2020&amp;as_yhi=2024&amp;q=source%3AInternational+source%3AWorkshop+source%3ASoftware+source%3AEngineering+source%3AHealthcare&amp;btnG=")</f>
        <v>https://scholar.google.com/scholar?hl=pt-BR&amp;as_sdt=0%2C5&amp;as_ylo=2020&amp;as_yhi=2024&amp;q=source%3AInternational+source%3AWorkshop+source%3ASoftware+source%3AEngineering+source%3AHealthcare&amp;btnG=</v>
      </c>
      <c r="I75" s="60" t="str">
        <f>IFERROR(__xludf.DUMMYFUNCTION("""COMPUTED_VALUE"""),"https://dblp.org/db/conf/icse-seh/index.html")</f>
        <v>https://dblp.org/db/conf/icse-seh/index.html</v>
      </c>
    </row>
    <row r="76">
      <c r="A76" s="68" t="str">
        <f>IFERROR(__xludf.DUMMYFUNCTION("""COMPUTED_VALUE"""),"Eventos da Área")</f>
        <v>Eventos da Área</v>
      </c>
      <c r="B76" t="str">
        <f>IFERROR(__xludf.DUMMYFUNCTION("""COMPUTED_VALUE"""),"ERES")</f>
        <v>ERES</v>
      </c>
      <c r="C76" t="str">
        <f>IFERROR(__xludf.DUMMYFUNCTION("""COMPUTED_VALUE"""),"Escola Regional de Engenharia de Software")</f>
        <v>Escola Regional de Engenharia de Software</v>
      </c>
      <c r="D76" s="141">
        <f>IFERROR(__xludf.DUMMYFUNCTION("""COMPUTED_VALUE"""),4.0)</f>
        <v>4</v>
      </c>
      <c r="E76" s="59" t="str">
        <f>IFERROR(__xludf.DUMMYFUNCTION("""COMPUTED_VALUE"""),"https://scholar.google.com/citations?hl=en&amp;view_op=list_hcore&amp;venue=C22vC1PK4EMJ.2024")</f>
        <v>https://scholar.google.com/citations?hl=en&amp;view_op=list_hcore&amp;venue=C22vC1PK4EMJ.2024</v>
      </c>
      <c r="H76" t="str">
        <f>IFERROR(__xludf.DUMMYFUNCTION("""COMPUTED_VALUE"""),"Anais da IV Escola Regional de Engenharia de Software")</f>
        <v>Anais da IV Escola Regional de Engenharia de Software</v>
      </c>
      <c r="J76" s="60" t="str">
        <f>IFERROR(__xludf.DUMMYFUNCTION("""COMPUTED_VALUE"""),"https://sol.sbc.org.br/index.php/eres/issue/archive")</f>
        <v>https://sol.sbc.org.br/index.php/eres/issue/archive</v>
      </c>
    </row>
    <row r="77">
      <c r="A77" s="68" t="str">
        <f>IFERROR(__xludf.DUMMYFUNCTION("""COMPUTED_VALUE"""),"Eventos da Área")</f>
        <v>Eventos da Área</v>
      </c>
      <c r="B77" t="str">
        <f>IFERROR(__xludf.DUMMYFUNCTION("""COMPUTED_VALUE"""),"CBSoft")</f>
        <v>CBSoft</v>
      </c>
      <c r="C77" t="str">
        <f>IFERROR(__xludf.DUMMYFUNCTION("""COMPUTED_VALUE"""),"Brazilian Conference on Software: Theory and Practice")</f>
        <v>Brazilian Conference on Software: Theory and Practice</v>
      </c>
      <c r="D77" s="141">
        <f>IFERROR(__xludf.DUMMYFUNCTION("""COMPUTED_VALUE"""),5.0)</f>
        <v>5</v>
      </c>
      <c r="E77" s="59" t="str">
        <f>IFERROR(__xludf.DUMMYFUNCTION("""COMPUTED_VALUE"""),"https://scholar.google.com/citations?hl=en&amp;view_op=search_venues&amp;vq=cbsoft&amp;btnG=")</f>
        <v>https://scholar.google.com/citations?hl=en&amp;view_op=search_venues&amp;vq=cbsoft&amp;btnG=</v>
      </c>
      <c r="H77" t="str">
        <f>IFERROR(__xludf.DUMMYFUNCTION("""COMPUTED_VALUE"""),"Congresso Brasileiro de Software: Teoria e Prática (CBSoft)")</f>
        <v>Congresso Brasileiro de Software: Teoria e Prática (CBSoft)</v>
      </c>
      <c r="J77" s="60" t="str">
        <f>IFERROR(__xludf.DUMMYFUNCTION("""COMPUTED_VALUE"""),"https://sol.sbc.org.br/index.php/cbsoft")</f>
        <v>https://sol.sbc.org.br/index.php/cbsoft</v>
      </c>
    </row>
    <row r="78">
      <c r="A78" s="68" t="str">
        <f>IFERROR(__xludf.DUMMYFUNCTION("""COMPUTED_VALUE"""),"Eventos da Área")</f>
        <v>Eventos da Área</v>
      </c>
      <c r="B78" t="str">
        <f>IFERROR(__xludf.DUMMYFUNCTION("""COMPUTED_VALUE"""),"MSSiS")</f>
        <v>MSSiS</v>
      </c>
      <c r="C78" t="str">
        <f>IFERROR(__xludf.DUMMYFUNCTION("""COMPUTED_VALUE"""),"Workshop de Modelagem e Simulação de Sistemas Intensivos em Software")</f>
        <v>Workshop de Modelagem e Simulação de Sistemas Intensivos em Software</v>
      </c>
      <c r="D78" s="141">
        <f>IFERROR(__xludf.DUMMYFUNCTION("""COMPUTED_VALUE"""),3.0)</f>
        <v>3</v>
      </c>
      <c r="E78" s="59" t="str">
        <f>IFERROR(__xludf.DUMMYFUNCTION("""COMPUTED_VALUE"""),"https://scholar.google.com/scholar?hl=pt-BR&amp;as_sdt=0%2C5&amp;as_ylo=2020&amp;as_yhi=2024&amp;q=source%3AModelagem+source%3ASimula%C3%A7%C3%A3o+source%3ASistemas+source%3AIntensivos+source%3ASoftware&amp;btnG=")</f>
        <v>https://scholar.google.com/scholar?hl=pt-BR&amp;as_sdt=0%2C5&amp;as_ylo=2020&amp;as_yhi=2024&amp;q=source%3AModelagem+source%3ASimula%C3%A7%C3%A3o+source%3ASistemas+source%3AIntensivos+source%3ASoftware&amp;btnG=</v>
      </c>
      <c r="J78" s="60" t="str">
        <f>IFERROR(__xludf.DUMMYFUNCTION("""COMPUTED_VALUE"""),"https://sol.sbc.org.br/index.php/mssis/issue/archive")</f>
        <v>https://sol.sbc.org.br/index.php/mssis/issue/archive</v>
      </c>
    </row>
    <row r="79">
      <c r="A79" s="68" t="str">
        <f>IFERROR(__xludf.DUMMYFUNCTION("""COMPUTED_VALUE"""),"Eventos da Área")</f>
        <v>Eventos da Área</v>
      </c>
      <c r="B79" t="str">
        <f>IFERROR(__xludf.DUMMYFUNCTION("""COMPUTED_VALUE"""),"ISE")</f>
        <v>ISE</v>
      </c>
      <c r="C79" t="str">
        <f>IFERROR(__xludf.DUMMYFUNCTION("""COMPUTED_VALUE"""),"Workshop Brasileiro de Engenharia de Software Inteligente")</f>
        <v>Workshop Brasileiro de Engenharia de Software Inteligente</v>
      </c>
      <c r="D79" s="141">
        <f>IFERROR(__xludf.DUMMYFUNCTION("""COMPUTED_VALUE"""),3.0)</f>
        <v>3</v>
      </c>
      <c r="E79" s="59" t="str">
        <f>IFERROR(__xludf.DUMMYFUNCTION("""COMPUTED_VALUE"""),"https://scholar.google.com/scholar?hl=pt-BR&amp;as_sdt=0%2C5&amp;as_ylo=2020&amp;as_yhi=2024&amp;q=source%3AWorkshop+source%3ABrasileiro+source%3AEngenharia+source%3ASoftware+source%3AInteligente&amp;btnG=")</f>
        <v>https://scholar.google.com/scholar?hl=pt-BR&amp;as_sdt=0%2C5&amp;as_ylo=2020&amp;as_yhi=2024&amp;q=source%3AWorkshop+source%3ABrasileiro+source%3AEngenharia+source%3ASoftware+source%3AInteligente&amp;btnG=</v>
      </c>
      <c r="J79" s="60" t="str">
        <f>IFERROR(__xludf.DUMMYFUNCTION("""COMPUTED_VALUE"""),"https://sol.sbc.org.br/index.php/ise/issue/archive")</f>
        <v>https://sol.sbc.org.br/index.php/ise/issue/archive</v>
      </c>
    </row>
    <row r="80">
      <c r="A80" s="68" t="str">
        <f>IFERROR(__xludf.DUMMYFUNCTION("""COMPUTED_VALUE"""),"Eventos da Área")</f>
        <v>Eventos da Área</v>
      </c>
      <c r="B80" t="str">
        <f>IFERROR(__xludf.DUMMYFUNCTION("""COMPUTED_VALUE"""),"OpenScienSE")</f>
        <v>OpenScienSE</v>
      </c>
      <c r="C80" t="str">
        <f>IFERROR(__xludf.DUMMYFUNCTION("""COMPUTED_VALUE"""),"Workshop de Práticas de Ciência Aberta para Engenharia de Software")</f>
        <v>Workshop de Práticas de Ciência Aberta para Engenharia de Software</v>
      </c>
      <c r="D80" s="141">
        <f>IFERROR(__xludf.DUMMYFUNCTION("""COMPUTED_VALUE"""),3.0)</f>
        <v>3</v>
      </c>
      <c r="E80" s="59" t="str">
        <f>IFERROR(__xludf.DUMMYFUNCTION("""COMPUTED_VALUE"""),"https://scholar.google.com/scholar?q=source%3AWorkshop+source%3APr%C3%A1ticas+source%3ACi%C3%AAncia+source%3AAberta+source%3AEngenharia+de+Software%21&amp;hl=pt-BR&amp;as_sdt=0%2C5&amp;as_ylo=2020&amp;as_yhi=2024")</f>
        <v>https://scholar.google.com/scholar?q=source%3AWorkshop+source%3APr%C3%A1ticas+source%3ACi%C3%AAncia+source%3AAberta+source%3AEngenharia+de+Software%21&amp;hl=pt-BR&amp;as_sdt=0%2C5&amp;as_ylo=2020&amp;as_yhi=2024</v>
      </c>
      <c r="J80" s="60" t="str">
        <f>IFERROR(__xludf.DUMMYFUNCTION("""COMPUTED_VALUE"""),"https://sol.sbc.org.br/index.php/opensciense/issue/archive")</f>
        <v>https://sol.sbc.org.br/index.php/opensciense/issue/archive</v>
      </c>
    </row>
    <row r="81">
      <c r="A81" s="68" t="str">
        <f>IFERROR(__xludf.DUMMYFUNCTION("""COMPUTED_VALUE"""),"Eventos da Área")</f>
        <v>Eventos da Área</v>
      </c>
      <c r="B81" t="str">
        <f>IFERROR(__xludf.DUMMYFUNCTION("""COMPUTED_VALUE"""),"Latinoware")</f>
        <v>Latinoware</v>
      </c>
      <c r="C81" t="str">
        <f>IFERROR(__xludf.DUMMYFUNCTION("""COMPUTED_VALUE"""),"Congresso Latino-Americano de Software Livre e Tecnologias Abertas")</f>
        <v>Congresso Latino-Americano de Software Livre e Tecnologias Abertas</v>
      </c>
      <c r="D81" s="141">
        <f>IFERROR(__xludf.DUMMYFUNCTION("""COMPUTED_VALUE"""),3.0)</f>
        <v>3</v>
      </c>
      <c r="E81" s="59" t="str">
        <f>IFERROR(__xludf.DUMMYFUNCTION("""COMPUTED_VALUE"""),"https://scholar.google.com/citations?hl=en&amp;view_op=list_hcore&amp;venue=TDrrbM20a5oJ.2024")</f>
        <v>https://scholar.google.com/citations?hl=en&amp;view_op=list_hcore&amp;venue=TDrrbM20a5oJ.2024</v>
      </c>
      <c r="H81" t="str">
        <f>IFERROR(__xludf.DUMMYFUNCTION("""COMPUTED_VALUE"""),"XX Congresso Latino-Americano de Software Livre e Tecnologias Abertas")</f>
        <v>XX Congresso Latino-Americano de Software Livre e Tecnologias Abertas</v>
      </c>
      <c r="J81" s="60" t="str">
        <f>IFERROR(__xludf.DUMMYFUNCTION("""COMPUTED_VALUE"""),"https://sol.sbc.org.br/index.php/latinoware/issue/archive")</f>
        <v>https://sol.sbc.org.br/index.php/latinoware/issue/archive</v>
      </c>
    </row>
    <row r="82">
      <c r="A82" s="68" t="str">
        <f>IFERROR(__xludf.DUMMYFUNCTION("""COMPUTED_VALUE"""),"Eventos da Área")</f>
        <v>Eventos da Área</v>
      </c>
      <c r="B82" t="str">
        <f>IFERROR(__xludf.DUMMYFUNCTION("""COMPUTED_VALUE"""),"QRS")</f>
        <v>QRS</v>
      </c>
      <c r="C82" t="str">
        <f>IFERROR(__xludf.DUMMYFUNCTION("""COMPUTED_VALUE"""),"IEEE International Conference on Software Quality, Reliability, and Security")</f>
        <v>IEEE International Conference on Software Quality, Reliability, and Security</v>
      </c>
      <c r="D82" s="141">
        <f>IFERROR(__xludf.DUMMYFUNCTION("""COMPUTED_VALUE"""),23.0)</f>
        <v>23</v>
      </c>
      <c r="E82" s="59" t="str">
        <f>IFERROR(__xludf.DUMMYFUNCTION("""COMPUTED_VALUE"""),"https://scholar.google.com/citations?hl=en&amp;view_op=list_hcore&amp;venue=4diVe5BwiNAJ.2024")</f>
        <v>https://scholar.google.com/citations?hl=en&amp;view_op=list_hcore&amp;venue=4diVe5BwiNAJ.2024</v>
      </c>
      <c r="H82" t="str">
        <f>IFERROR(__xludf.DUMMYFUNCTION("""COMPUTED_VALUE"""),"IEEE International Conference on Software Quality, Reliability and Security Companion")</f>
        <v>IEEE International Conference on Software Quality, Reliability and Security Companion</v>
      </c>
      <c r="I82" s="60" t="str">
        <f>IFERROR(__xludf.DUMMYFUNCTION("""COMPUTED_VALUE"""),"https://dblp.org/db/conf/qrs/index.html")</f>
        <v>https://dblp.org/db/conf/qrs/index.html</v>
      </c>
    </row>
    <row r="83">
      <c r="A83" s="68" t="str">
        <f>IFERROR(__xludf.DUMMYFUNCTION("""COMPUTED_VALUE"""),"Eventos da Área")</f>
        <v>Eventos da Área</v>
      </c>
      <c r="B83" t="str">
        <f>IFERROR(__xludf.DUMMYFUNCTION("""COMPUTED_VALUE"""),"AIware")</f>
        <v>AIware</v>
      </c>
      <c r="C83" t="str">
        <f>IFERROR(__xludf.DUMMYFUNCTION("""COMPUTED_VALUE"""),"ACM International Conference on AI-powered Software ")</f>
        <v>ACM International Conference on AI-powered Software </v>
      </c>
      <c r="D83" s="141">
        <f>IFERROR(__xludf.DUMMYFUNCTION("""COMPUTED_VALUE"""),1.0)</f>
        <v>1</v>
      </c>
      <c r="E83" s="59" t="str">
        <f>IFERROR(__xludf.DUMMYFUNCTION("""COMPUTED_VALUE"""),"https://scholar.google.com/scholar?hl=pt-BR&amp;as_sdt=0%2C5&amp;q=source%3AACM+source%3AInternational+source%3AConference+on+source%3AAI-powered+source%3ASoftware&amp;btnG=")</f>
        <v>https://scholar.google.com/scholar?hl=pt-BR&amp;as_sdt=0%2C5&amp;q=source%3AACM+source%3AInternational+source%3AConference+on+source%3AAI-powered+source%3ASoftware&amp;btnG=</v>
      </c>
      <c r="I83" s="60" t="str">
        <f>IFERROR(__xludf.DUMMYFUNCTION("""COMPUTED_VALUE"""),"https://dblp.org/db/conf/aiware/index.html")</f>
        <v>https://dblp.org/db/conf/aiware/index.html</v>
      </c>
    </row>
    <row r="84">
      <c r="A84" s="68" t="str">
        <f>IFERROR(__xludf.DUMMYFUNCTION("""COMPUTED_VALUE"""),"Eventos da Área")</f>
        <v>Eventos da Área</v>
      </c>
      <c r="B84" t="str">
        <f>IFERROR(__xludf.DUMMYFUNCTION("""COMPUTED_VALUE"""),"WASHES")</f>
        <v>WASHES</v>
      </c>
      <c r="C84" t="str">
        <f>IFERROR(__xludf.DUMMYFUNCTION("""COMPUTED_VALUE"""),"Workshop sobre Aspectos Sociais, Humanos e Econômicos de Software")</f>
        <v>Workshop sobre Aspectos Sociais, Humanos e Econômicos de Software</v>
      </c>
      <c r="D84" s="141">
        <f>IFERROR(__xludf.DUMMYFUNCTION("""COMPUTED_VALUE"""),4.0)</f>
        <v>4</v>
      </c>
      <c r="E84" s="59" t="str">
        <f>IFERROR(__xludf.DUMMYFUNCTION("""COMPUTED_VALUE"""),"https://scholar.google.com/scholar?q=source%3AWorkshop+source%3Asobre+source%3AAspectos+source%3ASociais+source%3AHumanos+source%3Ae+source%3AEcon%C3%B4micos+source%3Ade+source%3ASoftware&amp;hl=pt-BR&amp;as_sdt=0%2C5&amp;as_ylo=2020&amp;as_yhi=2024")</f>
        <v>https://scholar.google.com/scholar?q=source%3AWorkshop+source%3Asobre+source%3AAspectos+source%3ASociais+source%3AHumanos+source%3Ae+source%3AEcon%C3%B4micos+source%3Ade+source%3ASoftware&amp;hl=pt-BR&amp;as_sdt=0%2C5&amp;as_ylo=2020&amp;as_yhi=2024</v>
      </c>
      <c r="J84" s="60" t="str">
        <f>IFERROR(__xludf.DUMMYFUNCTION("""COMPUTED_VALUE"""),"https://sol.sbc.org.br/index.php/washes/issue/archive")</f>
        <v>https://sol.sbc.org.br/index.php/washes/issue/archive</v>
      </c>
    </row>
    <row r="85">
      <c r="A85" s="68" t="str">
        <f>IFERROR(__xludf.DUMMYFUNCTION("""COMPUTED_VALUE"""),"Eventos da Área")</f>
        <v>Eventos da Área</v>
      </c>
      <c r="B85" t="str">
        <f>IFERROR(__xludf.DUMMYFUNCTION("""COMPUTED_VALUE"""),"SBMF")</f>
        <v>SBMF</v>
      </c>
      <c r="C85" t="str">
        <f>IFERROR(__xludf.DUMMYFUNCTION("""COMPUTED_VALUE"""),"Brazilian Symposium on Formal Methods")</f>
        <v>Brazilian Symposium on Formal Methods</v>
      </c>
      <c r="D85" s="141">
        <f>IFERROR(__xludf.DUMMYFUNCTION("""COMPUTED_VALUE"""),5.0)</f>
        <v>5</v>
      </c>
      <c r="E85" s="59" t="str">
        <f>IFERROR(__xludf.DUMMYFUNCTION("""COMPUTED_VALUE"""),"https://scholar.google.com/scholar?hl=pt-BR&amp;as_sdt=0%2C5&amp;as_ylo=2020&amp;as_yhi=2024&amp;q=source%3ABrazilian+source%3ASymposium+on+source%3AFormal+source%3AMethods&amp;btnG=")</f>
        <v>https://scholar.google.com/scholar?hl=pt-BR&amp;as_sdt=0%2C5&amp;as_ylo=2020&amp;as_yhi=2024&amp;q=source%3ABrazilian+source%3ASymposium+on+source%3AFormal+source%3AMethods&amp;btnG=</v>
      </c>
      <c r="I85" s="60" t="str">
        <f>IFERROR(__xludf.DUMMYFUNCTION("""COMPUTED_VALUE"""),"https://dblp.org/db/conf/sbmf/index.html")</f>
        <v>https://dblp.org/db/conf/sbmf/index.html</v>
      </c>
      <c r="J85" s="60" t="str">
        <f>IFERROR(__xludf.DUMMYFUNCTION("""COMPUTED_VALUE"""),"https://sol.sbc.org.br/index.php/sbmf")</f>
        <v>https://sol.sbc.org.br/index.php/sbmf</v>
      </c>
    </row>
    <row r="86">
      <c r="A86" s="68" t="str">
        <f>IFERROR(__xludf.DUMMYFUNCTION("""COMPUTED_VALUE"""),"Eventos da Área")</f>
        <v>Eventos da Área</v>
      </c>
      <c r="B86" t="str">
        <f>IFERROR(__xludf.DUMMYFUNCTION("""COMPUTED_VALUE"""),"RCIS")</f>
        <v>RCIS</v>
      </c>
      <c r="C86" t="str">
        <f>IFERROR(__xludf.DUMMYFUNCTION("""COMPUTED_VALUE"""),"International Conference on Research Challenges in Information Science")</f>
        <v>International Conference on Research Challenges in Information Science</v>
      </c>
      <c r="D86" s="141">
        <f>IFERROR(__xludf.DUMMYFUNCTION("""COMPUTED_VALUE"""),18.0)</f>
        <v>18</v>
      </c>
      <c r="E86" s="59" t="str">
        <f>IFERROR(__xludf.DUMMYFUNCTION("""COMPUTED_VALUE"""),"https://scholar.google.com/citations?hl=en&amp;view_op=list_hcore&amp;venue=yxUYnK6YD7QJ.2024")</f>
        <v>https://scholar.google.com/citations?hl=en&amp;view_op=list_hcore&amp;venue=yxUYnK6YD7QJ.2024</v>
      </c>
      <c r="I86" s="60" t="str">
        <f>IFERROR(__xludf.DUMMYFUNCTION("""COMPUTED_VALUE"""),"https://dblp.org/db/conf/rcis/index.html")</f>
        <v>https://dblp.org/db/conf/rcis/index.html</v>
      </c>
    </row>
    <row r="87">
      <c r="A87" s="68" t="str">
        <f>IFERROR(__xludf.DUMMYFUNCTION("""COMPUTED_VALUE"""),"Eventos da Área")</f>
        <v>Eventos da Área</v>
      </c>
      <c r="B87" t="str">
        <f>IFERROR(__xludf.DUMMYFUNCTION("""COMPUTED_VALUE"""),"ECOOP")</f>
        <v>ECOOP</v>
      </c>
      <c r="C87" t="str">
        <f>IFERROR(__xludf.DUMMYFUNCTION("""COMPUTED_VALUE"""),"European Conference on Object-Oriented Programming")</f>
        <v>European Conference on Object-Oriented Programming</v>
      </c>
      <c r="D87" s="141">
        <f>IFERROR(__xludf.DUMMYFUNCTION("""COMPUTED_VALUE"""),19.0)</f>
        <v>19</v>
      </c>
      <c r="E87" s="59" t="str">
        <f>IFERROR(__xludf.DUMMYFUNCTION("""COMPUTED_VALUE"""),"https://scholar.google.com/citations?hl=en&amp;view_op=list_hcore&amp;venue=QHz4g2YxOYgJ.2024")</f>
        <v>https://scholar.google.com/citations?hl=en&amp;view_op=list_hcore&amp;venue=QHz4g2YxOYgJ.2024</v>
      </c>
      <c r="H87" t="str">
        <f>IFERROR(__xludf.DUMMYFUNCTION("""COMPUTED_VALUE"""),"European Conference on Object-oriented Programming (ECOOP)")</f>
        <v>European Conference on Object-oriented Programming (ECOOP)</v>
      </c>
      <c r="I87" s="60" t="str">
        <f>IFERROR(__xludf.DUMMYFUNCTION("""COMPUTED_VALUE"""),"https://dblp.org/db/conf/ecoop/index.html")</f>
        <v>https://dblp.org/db/conf/ecoop/index.html</v>
      </c>
    </row>
    <row r="88">
      <c r="A88" s="68" t="str">
        <f>IFERROR(__xludf.DUMMYFUNCTION("""COMPUTED_VALUE"""),"Eventos da Área")</f>
        <v>Eventos da Área</v>
      </c>
      <c r="B88" t="str">
        <f>IFERROR(__xludf.DUMMYFUNCTION("""COMPUTED_VALUE"""),"OOPSLA")</f>
        <v>OOPSLA</v>
      </c>
      <c r="C88" t="str">
        <f>IFERROR(__xludf.DUMMYFUNCTION("""COMPUTED_VALUE"""),"Conference on Object-Oriented Programming Systems, Languages, and Applications")</f>
        <v>Conference on Object-Oriented Programming Systems, Languages, and Applications</v>
      </c>
      <c r="D88" s="141">
        <f>IFERROR(__xludf.DUMMYFUNCTION("""COMPUTED_VALUE"""),65.0)</f>
        <v>65</v>
      </c>
      <c r="E88" s="59" t="str">
        <f>IFERROR(__xludf.DUMMYFUNCTION("""COMPUTED_VALUE"""),"https://scholar.google.com/citations?hl=en&amp;view_op=list_hcore&amp;venue=aabcDmqMOP8J.2024")</f>
        <v>https://scholar.google.com/citations?hl=en&amp;view_op=list_hcore&amp;venue=aabcDmqMOP8J.2024</v>
      </c>
      <c r="H88" t="str">
        <f>IFERROR(__xludf.DUMMYFUNCTION("""COMPUTED_VALUE"""),"Proceedings of the ACM on Programming Languages")</f>
        <v>Proceedings of the ACM on Programming Languages</v>
      </c>
      <c r="I88" s="60" t="str">
        <f>IFERROR(__xludf.DUMMYFUNCTION("""COMPUTED_VALUE"""),"https://dblp.org/db/conf/oopsla/index.html")</f>
        <v>https://dblp.org/db/conf/oopsla/index.html</v>
      </c>
    </row>
    <row r="89">
      <c r="A89" s="68" t="str">
        <f>IFERROR(__xludf.DUMMYFUNCTION("""COMPUTED_VALUE"""),"Eventos da Área")</f>
        <v>Eventos da Área</v>
      </c>
      <c r="B89" t="str">
        <f>IFERROR(__xludf.DUMMYFUNCTION("""COMPUTED_VALUE"""),"ER")</f>
        <v>ER</v>
      </c>
      <c r="C89" t="str">
        <f>IFERROR(__xludf.DUMMYFUNCTION("""COMPUTED_VALUE"""),"International Conference on Conceptual Modeling")</f>
        <v>International Conference on Conceptual Modeling</v>
      </c>
      <c r="D89" s="141">
        <f>IFERROR(__xludf.DUMMYFUNCTION("""COMPUTED_VALUE"""),20.0)</f>
        <v>20</v>
      </c>
      <c r="E89" s="59" t="str">
        <f>IFERROR(__xludf.DUMMYFUNCTION("""COMPUTED_VALUE"""),"https://scholar.google.com/citations?hl=en&amp;view_op=list_hcore&amp;venue=wB6WaEpFlvgJ.2024")</f>
        <v>https://scholar.google.com/citations?hl=en&amp;view_op=list_hcore&amp;venue=wB6WaEpFlvgJ.2024</v>
      </c>
      <c r="I89" s="60" t="str">
        <f>IFERROR(__xludf.DUMMYFUNCTION("""COMPUTED_VALUE"""),"https://dblp.org/db/conf/er/index.html")</f>
        <v>https://dblp.org/db/conf/er/index.html</v>
      </c>
    </row>
    <row r="90">
      <c r="A90" s="68" t="str">
        <f>IFERROR(__xludf.DUMMYFUNCTION("""COMPUTED_VALUE"""),"Eventos da Área")</f>
        <v>Eventos da Área</v>
      </c>
      <c r="B90" t="str">
        <f>IFERROR(__xludf.DUMMYFUNCTION("""COMPUTED_VALUE"""),"CAISE")</f>
        <v>CAISE</v>
      </c>
      <c r="C90" t="str">
        <f>IFERROR(__xludf.DUMMYFUNCTION("""COMPUTED_VALUE"""),"International Conference on Advanced Information Systems Engineering")</f>
        <v>International Conference on Advanced Information Systems Engineering</v>
      </c>
      <c r="D90" s="141">
        <f>IFERROR(__xludf.DUMMYFUNCTION("""COMPUTED_VALUE"""),27.0)</f>
        <v>27</v>
      </c>
      <c r="E90" s="59" t="str">
        <f>IFERROR(__xludf.DUMMYFUNCTION("""COMPUTED_VALUE"""),"https://scholar.google.com/citations?hl=en&amp;view_op=list_hcore&amp;venue=5PSS5xHm_KwJ.2024")</f>
        <v>https://scholar.google.com/citations?hl=en&amp;view_op=list_hcore&amp;venue=5PSS5xHm_KwJ.2024</v>
      </c>
      <c r="I90" s="60" t="str">
        <f>IFERROR(__xludf.DUMMYFUNCTION("""COMPUTED_VALUE"""),"https://dblp.org/db/conf/caise/index.html")</f>
        <v>https://dblp.org/db/conf/caise/index.html</v>
      </c>
    </row>
    <row r="91">
      <c r="A91" s="68" t="str">
        <f>IFERROR(__xludf.DUMMYFUNCTION("""COMPUTED_VALUE"""),"Eventos da Área")</f>
        <v>Eventos da Área</v>
      </c>
      <c r="B91" t="str">
        <f>IFERROR(__xludf.DUMMYFUNCTION("""COMPUTED_VALUE"""),"HICSS")</f>
        <v>HICSS</v>
      </c>
      <c r="C91" t="str">
        <f>IFERROR(__xludf.DUMMYFUNCTION("""COMPUTED_VALUE"""),"Hawaii International Conference on System Sciences")</f>
        <v>Hawaii International Conference on System Sciences</v>
      </c>
      <c r="D91" s="141">
        <f>IFERROR(__xludf.DUMMYFUNCTION("""COMPUTED_VALUE"""),56.0)</f>
        <v>56</v>
      </c>
      <c r="E91" s="59" t="str">
        <f>IFERROR(__xludf.DUMMYFUNCTION("""COMPUTED_VALUE"""),"https://scholar.google.com/citations?hl=en&amp;view_op=list_hcore&amp;venue=6wBd043QhTIJ.2024")</f>
        <v>https://scholar.google.com/citations?hl=en&amp;view_op=list_hcore&amp;venue=6wBd043QhTIJ.2024</v>
      </c>
      <c r="I91" s="60" t="str">
        <f>IFERROR(__xludf.DUMMYFUNCTION("""COMPUTED_VALUE"""),"https://dblp.org/db/conf/hicss/index.html")</f>
        <v>https://dblp.org/db/conf/hicss/index.html</v>
      </c>
    </row>
    <row r="92">
      <c r="A92" s="68" t="str">
        <f>IFERROR(__xludf.DUMMYFUNCTION("""COMPUTED_VALUE"""),"Eventos da Área")</f>
        <v>Eventos da Área</v>
      </c>
      <c r="B92" t="str">
        <f>IFERROR(__xludf.DUMMYFUNCTION("""COMPUTED_VALUE"""),"SBSI")</f>
        <v>SBSI</v>
      </c>
      <c r="C92" t="str">
        <f>IFERROR(__xludf.DUMMYFUNCTION("""COMPUTED_VALUE"""),"Simpósio Brasileiro de Sistemas de Informação")</f>
        <v>Simpósio Brasileiro de Sistemas de Informação</v>
      </c>
      <c r="D92" s="141">
        <f>IFERROR(__xludf.DUMMYFUNCTION("""COMPUTED_VALUE"""),11.0)</f>
        <v>11</v>
      </c>
      <c r="E92" s="59" t="str">
        <f>IFERROR(__xludf.DUMMYFUNCTION("""COMPUTED_VALUE"""),"https://scholar.google.com/citations?hl=en&amp;view_op=list_hcore&amp;venue=Uj60OIiJKkQJ.2024")</f>
        <v>https://scholar.google.com/citations?hl=en&amp;view_op=list_hcore&amp;venue=Uj60OIiJKkQJ.2024</v>
      </c>
      <c r="H92" t="str">
        <f>IFERROR(__xludf.DUMMYFUNCTION("""COMPUTED_VALUE"""),"Brazilian Symposium on Information Systems")</f>
        <v>Brazilian Symposium on Information Systems</v>
      </c>
      <c r="I92" s="60" t="str">
        <f>IFERROR(__xludf.DUMMYFUNCTION("""COMPUTED_VALUE"""),"https://dblp.org/db/conf/sbsi/index.html")</f>
        <v>https://dblp.org/db/conf/sbsi/index.html</v>
      </c>
      <c r="J92" s="60" t="str">
        <f>IFERROR(__xludf.DUMMYFUNCTION("""COMPUTED_VALUE"""),"https://sol.sbc.org.br/index.php/sbsi")</f>
        <v>https://sol.sbc.org.br/index.php/sbsi</v>
      </c>
    </row>
    <row r="93">
      <c r="A93" s="68" t="str">
        <f>IFERROR(__xludf.DUMMYFUNCTION("""COMPUTED_VALUE"""),"Eventos da Área")</f>
        <v>Eventos da Área</v>
      </c>
      <c r="B93" t="str">
        <f>IFERROR(__xludf.DUMMYFUNCTION("""COMPUTED_VALUE"""),"ICIS")</f>
        <v>ICIS</v>
      </c>
      <c r="C93" t="str">
        <f>IFERROR(__xludf.DUMMYFUNCTION("""COMPUTED_VALUE"""),"International Conference on Information Systems")</f>
        <v>International Conference on Information Systems</v>
      </c>
      <c r="D93" s="141">
        <f>IFERROR(__xludf.DUMMYFUNCTION("""COMPUTED_VALUE"""),12.0)</f>
        <v>12</v>
      </c>
      <c r="E93" s="59" t="str">
        <f>IFERROR(__xludf.DUMMYFUNCTION("""COMPUTED_VALUE"""),"https://scholar.google.com/citations?hl=en&amp;view_op=list_hcore&amp;venue=QvuNH62riE0J.2024")</f>
        <v>https://scholar.google.com/citations?hl=en&amp;view_op=list_hcore&amp;venue=QvuNH62riE0J.2024</v>
      </c>
      <c r="H93" t="str">
        <f>IFERROR(__xludf.DUMMYFUNCTION("""COMPUTED_VALUE"""),"IEEE/ACIS International Conference on Computer and Information Science ICIS")</f>
        <v>IEEE/ACIS International Conference on Computer and Information Science ICIS</v>
      </c>
      <c r="I93" s="60" t="str">
        <f>IFERROR(__xludf.DUMMYFUNCTION("""COMPUTED_VALUE"""),"https://dblp.org/db/conf/ACISicis/index.html")</f>
        <v>https://dblp.org/db/conf/ACISicis/index.html</v>
      </c>
    </row>
    <row r="94">
      <c r="A94" s="68" t="str">
        <f>IFERROR(__xludf.DUMMYFUNCTION("""COMPUTED_VALUE"""),"Eventos da Área")</f>
        <v>Eventos da Área</v>
      </c>
      <c r="B94" t="str">
        <f>IFERROR(__xludf.DUMMYFUNCTION("""COMPUTED_VALUE"""),"VLHCC")</f>
        <v>VLHCC</v>
      </c>
      <c r="C94" t="str">
        <f>IFERROR(__xludf.DUMMYFUNCTION("""COMPUTED_VALUE"""),"IEEE Symposium on Visual Languages and Human-Centric Computing")</f>
        <v>IEEE Symposium on Visual Languages and Human-Centric Computing</v>
      </c>
      <c r="D94" s="141">
        <f>IFERROR(__xludf.DUMMYFUNCTION("""COMPUTED_VALUE"""),18.0)</f>
        <v>18</v>
      </c>
      <c r="E94" s="59" t="str">
        <f>IFERROR(__xludf.DUMMYFUNCTION("""COMPUTED_VALUE"""),"https://scholar.google.com/citations?hl=en&amp;view_op=list_hcore&amp;venue=PDH_h8gpFWsJ.2024")</f>
        <v>https://scholar.google.com/citations?hl=en&amp;view_op=list_hcore&amp;venue=PDH_h8gpFWsJ.2024</v>
      </c>
      <c r="I94" s="60" t="str">
        <f>IFERROR(__xludf.DUMMYFUNCTION("""COMPUTED_VALUE"""),"https://dblp.org/db/conf/vl/index.html")</f>
        <v>https://dblp.org/db/conf/vl/index.html</v>
      </c>
    </row>
    <row r="95">
      <c r="A95" s="68" t="str">
        <f>IFERROR(__xludf.DUMMYFUNCTION("""COMPUTED_VALUE"""),"Eventos da Área")</f>
        <v>Eventos da Área</v>
      </c>
      <c r="B95" t="str">
        <f>IFERROR(__xludf.DUMMYFUNCTION("""COMPUTED_VALUE"""),"CLEI")</f>
        <v>CLEI</v>
      </c>
      <c r="C95" t="str">
        <f>IFERROR(__xludf.DUMMYFUNCTION("""COMPUTED_VALUE"""),"Conferencia Latinoamericana de Informática / Conferencia Latinoamericana En Informatica")</f>
        <v>Conferencia Latinoamericana de Informática / Conferencia Latinoamericana En Informatica</v>
      </c>
      <c r="D95" s="141">
        <f>IFERROR(__xludf.DUMMYFUNCTION("""COMPUTED_VALUE"""),11.0)</f>
        <v>11</v>
      </c>
      <c r="E95" s="59" t="str">
        <f>IFERROR(__xludf.DUMMYFUNCTION("""COMPUTED_VALUE"""),"https://scholar.google.com.br/citations?hl=pt-PT&amp;view_op=list_hcore&amp;venue=ThEGj_a76ZUJ.2024")</f>
        <v>https://scholar.google.com.br/citations?hl=pt-PT&amp;view_op=list_hcore&amp;venue=ThEGj_a76ZUJ.2024</v>
      </c>
      <c r="H95" t="str">
        <f>IFERROR(__xludf.DUMMYFUNCTION("""COMPUTED_VALUE"""),"Conferencia Latinoamericana En Informatica (CLEI)")</f>
        <v>Conferencia Latinoamericana En Informatica (CLEI)</v>
      </c>
      <c r="I95" s="60" t="str">
        <f>IFERROR(__xludf.DUMMYFUNCTION("""COMPUTED_VALUE"""),"https://dblp.org/db/conf/clei/index.html")</f>
        <v>https://dblp.org/db/conf/clei/index.html</v>
      </c>
    </row>
    <row r="96">
      <c r="A96" s="68"/>
      <c r="D96" s="141"/>
      <c r="E96" s="59"/>
    </row>
    <row r="97">
      <c r="A97" s="68"/>
      <c r="D97" s="141"/>
      <c r="E97" s="59"/>
    </row>
    <row r="98">
      <c r="A98" s="68"/>
      <c r="D98" s="141"/>
      <c r="E98" s="59"/>
    </row>
    <row r="99">
      <c r="A99" s="68"/>
      <c r="D99" s="141"/>
    </row>
    <row r="100">
      <c r="A100" s="68"/>
      <c r="D100" s="141"/>
    </row>
    <row r="101">
      <c r="A101" s="68"/>
      <c r="D101" s="141"/>
    </row>
    <row r="102">
      <c r="D102" s="141"/>
    </row>
    <row r="103">
      <c r="D103" s="141"/>
    </row>
    <row r="104">
      <c r="D104" s="141"/>
    </row>
    <row r="105">
      <c r="D105" s="141"/>
    </row>
    <row r="106">
      <c r="D106" s="141"/>
    </row>
    <row r="107">
      <c r="D107" s="141"/>
    </row>
    <row r="108">
      <c r="D108" s="141"/>
    </row>
    <row r="109">
      <c r="D109" s="141"/>
    </row>
    <row r="110">
      <c r="D110" s="141"/>
    </row>
    <row r="111">
      <c r="D111" s="141"/>
    </row>
    <row r="112">
      <c r="D112" s="141"/>
    </row>
    <row r="113">
      <c r="D113" s="141"/>
    </row>
    <row r="114">
      <c r="D114" s="141"/>
    </row>
    <row r="115">
      <c r="D115" s="141"/>
    </row>
    <row r="116">
      <c r="D116" s="141"/>
    </row>
    <row r="117">
      <c r="D117" s="141"/>
    </row>
    <row r="118">
      <c r="D118" s="141"/>
    </row>
    <row r="119">
      <c r="D119" s="141"/>
    </row>
    <row r="120">
      <c r="D120" s="141"/>
    </row>
    <row r="121">
      <c r="D121" s="141"/>
    </row>
    <row r="122">
      <c r="D122" s="141"/>
    </row>
    <row r="123">
      <c r="D123" s="141"/>
    </row>
    <row r="124">
      <c r="D124" s="141"/>
    </row>
    <row r="125">
      <c r="D125" s="141"/>
    </row>
    <row r="126">
      <c r="D126" s="141"/>
    </row>
    <row r="127">
      <c r="D127" s="141"/>
    </row>
    <row r="128">
      <c r="D128" s="141"/>
    </row>
    <row r="129">
      <c r="D129" s="141"/>
    </row>
    <row r="130">
      <c r="D130" s="141"/>
    </row>
    <row r="131">
      <c r="D131" s="141"/>
    </row>
    <row r="132">
      <c r="D132" s="141"/>
    </row>
    <row r="133">
      <c r="D133" s="141"/>
    </row>
    <row r="134">
      <c r="D134" s="141"/>
    </row>
    <row r="135">
      <c r="D135" s="141"/>
    </row>
    <row r="136">
      <c r="D136" s="141"/>
    </row>
    <row r="137">
      <c r="D137" s="141"/>
    </row>
    <row r="138">
      <c r="D138" s="141"/>
    </row>
    <row r="139">
      <c r="D139" s="141"/>
    </row>
    <row r="140">
      <c r="D140" s="141"/>
    </row>
    <row r="141">
      <c r="D141" s="141"/>
    </row>
    <row r="142">
      <c r="D142" s="141"/>
    </row>
    <row r="143">
      <c r="D143" s="141"/>
    </row>
    <row r="144">
      <c r="D144" s="141"/>
    </row>
    <row r="145">
      <c r="D145" s="141"/>
    </row>
    <row r="146">
      <c r="D146" s="141"/>
    </row>
    <row r="147">
      <c r="D147" s="141"/>
    </row>
    <row r="148">
      <c r="D148" s="141"/>
    </row>
    <row r="149">
      <c r="D149" s="141"/>
    </row>
    <row r="150">
      <c r="D150" s="141"/>
    </row>
    <row r="151">
      <c r="D151" s="141"/>
    </row>
    <row r="152">
      <c r="D152" s="141"/>
    </row>
    <row r="153">
      <c r="D153" s="141"/>
    </row>
    <row r="154">
      <c r="D154" s="141"/>
    </row>
    <row r="155">
      <c r="D155" s="141"/>
    </row>
    <row r="156">
      <c r="D156" s="141"/>
    </row>
    <row r="157">
      <c r="D157" s="141"/>
    </row>
    <row r="158">
      <c r="D158" s="141"/>
    </row>
    <row r="159">
      <c r="D159" s="141"/>
    </row>
    <row r="160">
      <c r="D160" s="141"/>
    </row>
    <row r="161">
      <c r="D161" s="141"/>
    </row>
    <row r="162">
      <c r="D162" s="141"/>
    </row>
    <row r="163">
      <c r="D163" s="141"/>
    </row>
    <row r="164">
      <c r="D164" s="141"/>
    </row>
    <row r="165">
      <c r="D165" s="141"/>
    </row>
    <row r="166">
      <c r="D166" s="141"/>
    </row>
    <row r="167">
      <c r="D167" s="141"/>
    </row>
    <row r="168">
      <c r="D168" s="141"/>
    </row>
    <row r="169">
      <c r="D169" s="141"/>
    </row>
    <row r="170">
      <c r="D170" s="141"/>
    </row>
    <row r="171">
      <c r="D171" s="141"/>
    </row>
    <row r="172">
      <c r="D172" s="141"/>
    </row>
    <row r="173">
      <c r="D173" s="141"/>
    </row>
    <row r="174">
      <c r="D174" s="141"/>
    </row>
    <row r="175">
      <c r="D175" s="141"/>
    </row>
    <row r="176">
      <c r="D176" s="141"/>
    </row>
    <row r="177">
      <c r="D177" s="141"/>
    </row>
    <row r="178">
      <c r="D178" s="141"/>
    </row>
    <row r="179">
      <c r="D179" s="141"/>
    </row>
    <row r="180">
      <c r="D180" s="141"/>
    </row>
    <row r="181">
      <c r="D181" s="141"/>
    </row>
    <row r="182">
      <c r="D182" s="141"/>
    </row>
    <row r="183">
      <c r="D183" s="141"/>
    </row>
    <row r="184">
      <c r="D184" s="141"/>
    </row>
    <row r="185">
      <c r="D185" s="141"/>
    </row>
    <row r="186">
      <c r="D186" s="141"/>
    </row>
    <row r="187">
      <c r="D187" s="141"/>
    </row>
    <row r="188">
      <c r="D188" s="141"/>
    </row>
    <row r="189">
      <c r="D189" s="141"/>
    </row>
    <row r="190">
      <c r="D190" s="141"/>
    </row>
    <row r="191">
      <c r="D191" s="141"/>
    </row>
    <row r="192">
      <c r="D192" s="141"/>
    </row>
    <row r="193">
      <c r="D193" s="141"/>
    </row>
    <row r="194">
      <c r="D194" s="141"/>
    </row>
    <row r="195">
      <c r="D195" s="141"/>
    </row>
    <row r="196">
      <c r="D196" s="141"/>
    </row>
    <row r="197">
      <c r="D197" s="141"/>
    </row>
    <row r="198">
      <c r="D198" s="141"/>
    </row>
    <row r="199">
      <c r="D199" s="141"/>
    </row>
    <row r="200">
      <c r="D200" s="141"/>
    </row>
    <row r="201">
      <c r="D201" s="141"/>
    </row>
    <row r="202">
      <c r="D202" s="141"/>
    </row>
    <row r="203">
      <c r="D203" s="141"/>
    </row>
    <row r="204">
      <c r="D204" s="141"/>
    </row>
    <row r="205">
      <c r="D205" s="141"/>
    </row>
    <row r="206">
      <c r="D206" s="141"/>
    </row>
    <row r="207">
      <c r="D207" s="141"/>
    </row>
    <row r="208">
      <c r="D208" s="141"/>
    </row>
    <row r="209">
      <c r="D209" s="141"/>
    </row>
    <row r="210">
      <c r="D210" s="141"/>
    </row>
    <row r="211">
      <c r="D211" s="141"/>
    </row>
    <row r="212">
      <c r="D212" s="141"/>
    </row>
    <row r="213">
      <c r="D213" s="141"/>
    </row>
    <row r="214">
      <c r="D214" s="141"/>
    </row>
    <row r="215">
      <c r="D215" s="141"/>
    </row>
    <row r="216">
      <c r="D216" s="141"/>
    </row>
    <row r="217">
      <c r="D217" s="141"/>
    </row>
    <row r="218">
      <c r="D218" s="141"/>
    </row>
    <row r="219">
      <c r="D219" s="141"/>
    </row>
    <row r="220">
      <c r="D220" s="141"/>
    </row>
    <row r="221">
      <c r="D221" s="141"/>
    </row>
    <row r="222">
      <c r="D222" s="141"/>
    </row>
    <row r="223">
      <c r="D223" s="141"/>
    </row>
    <row r="224">
      <c r="D224" s="141"/>
    </row>
    <row r="225">
      <c r="D225" s="141"/>
    </row>
    <row r="226">
      <c r="D226" s="141"/>
    </row>
    <row r="227">
      <c r="D227" s="141"/>
    </row>
    <row r="228">
      <c r="D228" s="141"/>
    </row>
    <row r="229">
      <c r="D229" s="141"/>
    </row>
    <row r="230">
      <c r="D230" s="141"/>
    </row>
    <row r="231">
      <c r="D231" s="141"/>
    </row>
    <row r="232">
      <c r="D232" s="141"/>
    </row>
    <row r="233">
      <c r="D233" s="141"/>
    </row>
    <row r="234">
      <c r="D234" s="141"/>
    </row>
    <row r="235">
      <c r="D235" s="141"/>
    </row>
    <row r="236">
      <c r="D236" s="141"/>
    </row>
    <row r="237">
      <c r="D237" s="141"/>
    </row>
    <row r="238">
      <c r="D238" s="141"/>
    </row>
    <row r="239">
      <c r="D239" s="141"/>
    </row>
    <row r="240">
      <c r="D240" s="141"/>
    </row>
    <row r="241">
      <c r="D241" s="141"/>
    </row>
    <row r="242">
      <c r="D242" s="141"/>
    </row>
    <row r="243">
      <c r="D243" s="141"/>
    </row>
    <row r="244">
      <c r="D244" s="141"/>
    </row>
    <row r="245">
      <c r="D245" s="141"/>
    </row>
    <row r="246">
      <c r="D246" s="141"/>
    </row>
    <row r="247">
      <c r="D247" s="141"/>
    </row>
    <row r="248">
      <c r="D248" s="141"/>
    </row>
    <row r="249">
      <c r="D249" s="141"/>
    </row>
    <row r="250">
      <c r="D250" s="141"/>
    </row>
    <row r="251">
      <c r="D251" s="141"/>
    </row>
    <row r="252">
      <c r="D252" s="141"/>
    </row>
    <row r="253">
      <c r="D253" s="141"/>
    </row>
    <row r="254">
      <c r="D254" s="141"/>
    </row>
    <row r="255">
      <c r="D255" s="141"/>
    </row>
    <row r="256">
      <c r="D256" s="141"/>
    </row>
    <row r="257">
      <c r="D257" s="141"/>
    </row>
    <row r="258">
      <c r="D258" s="141"/>
    </row>
    <row r="259">
      <c r="D259" s="141"/>
    </row>
    <row r="260">
      <c r="D260" s="141"/>
    </row>
    <row r="261">
      <c r="D261" s="141"/>
    </row>
    <row r="262">
      <c r="D262" s="141"/>
    </row>
    <row r="263">
      <c r="D263" s="141"/>
    </row>
    <row r="264">
      <c r="D264" s="141"/>
    </row>
    <row r="265">
      <c r="D265" s="141"/>
    </row>
    <row r="266">
      <c r="D266" s="141"/>
    </row>
    <row r="267">
      <c r="D267" s="141"/>
    </row>
    <row r="268">
      <c r="D268" s="141"/>
    </row>
    <row r="269">
      <c r="D269" s="141"/>
    </row>
    <row r="270">
      <c r="D270" s="141"/>
    </row>
    <row r="271">
      <c r="D271" s="141"/>
    </row>
    <row r="272">
      <c r="D272" s="141"/>
    </row>
    <row r="273">
      <c r="D273" s="141"/>
    </row>
    <row r="274">
      <c r="D274" s="141"/>
    </row>
    <row r="275">
      <c r="D275" s="141"/>
    </row>
    <row r="276">
      <c r="D276" s="141"/>
    </row>
    <row r="277">
      <c r="D277" s="141"/>
    </row>
    <row r="278">
      <c r="D278" s="141"/>
    </row>
    <row r="279">
      <c r="D279" s="141"/>
    </row>
    <row r="280">
      <c r="D280" s="141"/>
    </row>
    <row r="281">
      <c r="D281" s="141"/>
    </row>
    <row r="282">
      <c r="D282" s="141"/>
    </row>
    <row r="283">
      <c r="D283" s="141"/>
    </row>
    <row r="284">
      <c r="D284" s="141"/>
    </row>
    <row r="285">
      <c r="D285" s="141"/>
    </row>
    <row r="286">
      <c r="D286" s="141"/>
    </row>
    <row r="287">
      <c r="D287" s="141"/>
    </row>
    <row r="288">
      <c r="D288" s="141"/>
    </row>
    <row r="289">
      <c r="D289" s="141"/>
    </row>
    <row r="290">
      <c r="D290" s="141"/>
    </row>
    <row r="291">
      <c r="D291" s="141"/>
    </row>
    <row r="292">
      <c r="D292" s="141"/>
    </row>
    <row r="293">
      <c r="D293" s="141"/>
    </row>
    <row r="294">
      <c r="D294" s="141"/>
    </row>
    <row r="295">
      <c r="D295" s="141"/>
    </row>
    <row r="296">
      <c r="D296" s="141"/>
    </row>
    <row r="297">
      <c r="D297" s="141"/>
    </row>
    <row r="298">
      <c r="D298" s="141"/>
    </row>
    <row r="299">
      <c r="D299" s="141"/>
    </row>
    <row r="300">
      <c r="D300" s="141"/>
    </row>
    <row r="301">
      <c r="D301" s="141"/>
    </row>
    <row r="302">
      <c r="D302" s="141"/>
    </row>
    <row r="303">
      <c r="D303" s="141"/>
    </row>
    <row r="304">
      <c r="D304" s="141"/>
    </row>
    <row r="305">
      <c r="D305" s="141"/>
    </row>
    <row r="306">
      <c r="D306" s="141"/>
    </row>
    <row r="307">
      <c r="D307" s="141"/>
    </row>
    <row r="308">
      <c r="D308" s="141"/>
    </row>
    <row r="309">
      <c r="D309" s="141"/>
    </row>
    <row r="310">
      <c r="D310" s="141"/>
    </row>
    <row r="311">
      <c r="D311" s="141"/>
    </row>
    <row r="312">
      <c r="D312" s="141"/>
    </row>
    <row r="313">
      <c r="D313" s="141"/>
    </row>
    <row r="314">
      <c r="D314" s="141"/>
    </row>
    <row r="315">
      <c r="D315" s="141"/>
    </row>
    <row r="316">
      <c r="D316" s="141"/>
    </row>
    <row r="317">
      <c r="D317" s="141"/>
    </row>
    <row r="318">
      <c r="D318" s="141"/>
    </row>
    <row r="319">
      <c r="D319" s="141"/>
    </row>
    <row r="320">
      <c r="D320" s="141"/>
    </row>
    <row r="321">
      <c r="D321" s="141"/>
    </row>
    <row r="322">
      <c r="D322" s="141"/>
    </row>
    <row r="323">
      <c r="D323" s="141"/>
    </row>
    <row r="324">
      <c r="D324" s="141"/>
    </row>
    <row r="325">
      <c r="D325" s="141"/>
    </row>
    <row r="326">
      <c r="D326" s="141"/>
    </row>
    <row r="327">
      <c r="D327" s="141"/>
    </row>
    <row r="328">
      <c r="D328" s="141"/>
    </row>
    <row r="329">
      <c r="D329" s="141"/>
    </row>
    <row r="330">
      <c r="D330" s="141"/>
    </row>
    <row r="331">
      <c r="D331" s="141"/>
    </row>
    <row r="332">
      <c r="D332" s="141"/>
    </row>
    <row r="333">
      <c r="D333" s="141"/>
    </row>
    <row r="334">
      <c r="D334" s="141"/>
    </row>
    <row r="335">
      <c r="D335" s="141"/>
    </row>
    <row r="336">
      <c r="D336" s="141"/>
    </row>
    <row r="337">
      <c r="D337" s="141"/>
    </row>
    <row r="338">
      <c r="D338" s="141"/>
    </row>
    <row r="339">
      <c r="D339" s="141"/>
    </row>
    <row r="340">
      <c r="D340" s="141"/>
    </row>
    <row r="341">
      <c r="D341" s="141"/>
    </row>
    <row r="342">
      <c r="D342" s="141"/>
    </row>
    <row r="343">
      <c r="D343" s="141"/>
    </row>
    <row r="344">
      <c r="D344" s="141"/>
    </row>
    <row r="345">
      <c r="D345" s="141"/>
    </row>
    <row r="346">
      <c r="D346" s="141"/>
    </row>
    <row r="347">
      <c r="D347" s="141"/>
    </row>
    <row r="348">
      <c r="D348" s="141"/>
    </row>
    <row r="349">
      <c r="D349" s="141"/>
    </row>
    <row r="350">
      <c r="D350" s="141"/>
    </row>
    <row r="351">
      <c r="D351" s="141"/>
    </row>
    <row r="352">
      <c r="D352" s="141"/>
    </row>
    <row r="353">
      <c r="D353" s="141"/>
    </row>
    <row r="354">
      <c r="D354" s="141"/>
    </row>
    <row r="355">
      <c r="D355" s="141"/>
    </row>
    <row r="356">
      <c r="D356" s="141"/>
    </row>
    <row r="357">
      <c r="D357" s="141"/>
    </row>
    <row r="358">
      <c r="D358" s="141"/>
    </row>
    <row r="359">
      <c r="D359" s="141"/>
    </row>
    <row r="360">
      <c r="D360" s="141"/>
    </row>
    <row r="361">
      <c r="D361" s="141"/>
    </row>
    <row r="362">
      <c r="D362" s="141"/>
    </row>
    <row r="363">
      <c r="D363" s="141"/>
    </row>
    <row r="364">
      <c r="D364" s="141"/>
    </row>
    <row r="365">
      <c r="D365" s="141"/>
    </row>
    <row r="366">
      <c r="D366" s="141"/>
    </row>
    <row r="367">
      <c r="D367" s="141"/>
    </row>
    <row r="368">
      <c r="D368" s="141"/>
    </row>
    <row r="369">
      <c r="D369" s="141"/>
    </row>
    <row r="370">
      <c r="D370" s="141"/>
    </row>
    <row r="371">
      <c r="D371" s="141"/>
    </row>
    <row r="372">
      <c r="D372" s="141"/>
    </row>
    <row r="373">
      <c r="D373" s="141"/>
    </row>
    <row r="374">
      <c r="D374" s="141"/>
    </row>
    <row r="375">
      <c r="D375" s="141"/>
    </row>
    <row r="376">
      <c r="D376" s="141"/>
    </row>
    <row r="377">
      <c r="D377" s="141"/>
    </row>
    <row r="378">
      <c r="D378" s="141"/>
    </row>
    <row r="379">
      <c r="D379" s="141"/>
    </row>
    <row r="380">
      <c r="D380" s="141"/>
    </row>
    <row r="381">
      <c r="D381" s="141"/>
    </row>
    <row r="382">
      <c r="D382" s="141"/>
    </row>
    <row r="383">
      <c r="D383" s="141"/>
    </row>
    <row r="384">
      <c r="D384" s="141"/>
    </row>
    <row r="385">
      <c r="D385" s="141"/>
    </row>
    <row r="386">
      <c r="D386" s="141"/>
    </row>
    <row r="387">
      <c r="D387" s="141"/>
    </row>
    <row r="388">
      <c r="D388" s="141"/>
    </row>
    <row r="389">
      <c r="D389" s="141"/>
    </row>
    <row r="390">
      <c r="D390" s="141"/>
    </row>
    <row r="391">
      <c r="D391" s="141"/>
    </row>
    <row r="392">
      <c r="D392" s="141"/>
    </row>
    <row r="393">
      <c r="D393" s="141"/>
    </row>
    <row r="394">
      <c r="D394" s="141"/>
    </row>
    <row r="395">
      <c r="D395" s="141"/>
    </row>
    <row r="396">
      <c r="D396" s="141"/>
    </row>
    <row r="397">
      <c r="D397" s="141"/>
    </row>
    <row r="398">
      <c r="D398" s="141"/>
    </row>
    <row r="399">
      <c r="D399" s="141"/>
    </row>
    <row r="400">
      <c r="D400" s="141"/>
    </row>
    <row r="401">
      <c r="D401" s="141"/>
    </row>
    <row r="402">
      <c r="D402" s="141"/>
    </row>
    <row r="403">
      <c r="D403" s="141"/>
    </row>
    <row r="404">
      <c r="D404" s="141"/>
    </row>
    <row r="405">
      <c r="D405" s="141"/>
    </row>
    <row r="406">
      <c r="D406" s="141"/>
    </row>
    <row r="407">
      <c r="D407" s="141"/>
    </row>
    <row r="408">
      <c r="D408" s="141"/>
    </row>
    <row r="409">
      <c r="D409" s="141"/>
    </row>
    <row r="410">
      <c r="D410" s="141"/>
    </row>
    <row r="411">
      <c r="D411" s="141"/>
    </row>
    <row r="412">
      <c r="D412" s="141"/>
    </row>
    <row r="413">
      <c r="D413" s="141"/>
    </row>
    <row r="414">
      <c r="D414" s="141"/>
    </row>
    <row r="415">
      <c r="D415" s="141"/>
    </row>
    <row r="416">
      <c r="D416" s="141"/>
    </row>
    <row r="417">
      <c r="D417" s="141"/>
    </row>
    <row r="418">
      <c r="D418" s="141"/>
    </row>
    <row r="419">
      <c r="D419" s="141"/>
    </row>
    <row r="420">
      <c r="D420" s="141"/>
    </row>
    <row r="421">
      <c r="D421" s="141"/>
    </row>
    <row r="422">
      <c r="D422" s="141"/>
    </row>
    <row r="423">
      <c r="D423" s="141"/>
    </row>
    <row r="424">
      <c r="D424" s="141"/>
    </row>
    <row r="425">
      <c r="D425" s="141"/>
    </row>
    <row r="426">
      <c r="D426" s="141"/>
    </row>
    <row r="427">
      <c r="D427" s="141"/>
    </row>
    <row r="428">
      <c r="D428" s="141"/>
    </row>
    <row r="429">
      <c r="D429" s="141"/>
    </row>
    <row r="430">
      <c r="D430" s="141"/>
    </row>
    <row r="431">
      <c r="D431" s="141"/>
    </row>
    <row r="432">
      <c r="D432" s="141"/>
    </row>
    <row r="433">
      <c r="D433" s="141"/>
    </row>
    <row r="434">
      <c r="D434" s="141"/>
    </row>
    <row r="435">
      <c r="D435" s="141"/>
    </row>
    <row r="436">
      <c r="D436" s="141"/>
    </row>
    <row r="437">
      <c r="D437" s="141"/>
    </row>
    <row r="438">
      <c r="D438" s="141"/>
    </row>
    <row r="439">
      <c r="D439" s="141"/>
    </row>
    <row r="440">
      <c r="D440" s="141"/>
    </row>
    <row r="441">
      <c r="D441" s="141"/>
    </row>
    <row r="442">
      <c r="D442" s="141"/>
    </row>
    <row r="443">
      <c r="D443" s="141"/>
    </row>
    <row r="444">
      <c r="D444" s="141"/>
    </row>
    <row r="445">
      <c r="D445" s="141"/>
    </row>
    <row r="446">
      <c r="D446" s="141"/>
    </row>
    <row r="447">
      <c r="D447" s="141"/>
    </row>
    <row r="448">
      <c r="D448" s="141"/>
    </row>
    <row r="449">
      <c r="D449" s="141"/>
    </row>
    <row r="450">
      <c r="D450" s="141"/>
    </row>
    <row r="451">
      <c r="D451" s="141"/>
    </row>
    <row r="452">
      <c r="D452" s="141"/>
    </row>
    <row r="453">
      <c r="D453" s="141"/>
    </row>
    <row r="454">
      <c r="D454" s="141"/>
    </row>
    <row r="455">
      <c r="D455" s="141"/>
    </row>
    <row r="456">
      <c r="D456" s="141"/>
    </row>
    <row r="457">
      <c r="D457" s="141"/>
    </row>
    <row r="458">
      <c r="D458" s="141"/>
    </row>
    <row r="459">
      <c r="D459" s="141"/>
    </row>
    <row r="460">
      <c r="D460" s="141"/>
    </row>
    <row r="461">
      <c r="D461" s="141"/>
    </row>
    <row r="462">
      <c r="D462" s="141"/>
    </row>
    <row r="463">
      <c r="D463" s="141"/>
    </row>
    <row r="464">
      <c r="D464" s="141"/>
    </row>
    <row r="465">
      <c r="D465" s="141"/>
    </row>
    <row r="466">
      <c r="D466" s="141"/>
    </row>
    <row r="467">
      <c r="D467" s="141"/>
    </row>
    <row r="468">
      <c r="D468" s="141"/>
    </row>
    <row r="469">
      <c r="D469" s="141"/>
    </row>
    <row r="470">
      <c r="D470" s="141"/>
    </row>
    <row r="471">
      <c r="D471" s="141"/>
    </row>
    <row r="472">
      <c r="D472" s="141"/>
    </row>
    <row r="473">
      <c r="D473" s="141"/>
    </row>
    <row r="474">
      <c r="D474" s="141"/>
    </row>
    <row r="475">
      <c r="D475" s="141"/>
    </row>
    <row r="476">
      <c r="D476" s="141"/>
    </row>
    <row r="477">
      <c r="D477" s="141"/>
    </row>
    <row r="478">
      <c r="D478" s="141"/>
    </row>
    <row r="479">
      <c r="D479" s="141"/>
    </row>
    <row r="480">
      <c r="D480" s="141"/>
    </row>
    <row r="481">
      <c r="D481" s="141"/>
    </row>
    <row r="482">
      <c r="D482" s="141"/>
    </row>
    <row r="483">
      <c r="D483" s="141"/>
    </row>
    <row r="484">
      <c r="D484" s="141"/>
    </row>
    <row r="485">
      <c r="D485" s="141"/>
    </row>
    <row r="486">
      <c r="D486" s="141"/>
    </row>
    <row r="487">
      <c r="D487" s="141"/>
    </row>
    <row r="488">
      <c r="D488" s="141"/>
    </row>
    <row r="489">
      <c r="D489" s="141"/>
    </row>
    <row r="490">
      <c r="D490" s="141"/>
    </row>
    <row r="491">
      <c r="D491" s="141"/>
    </row>
    <row r="492">
      <c r="D492" s="141"/>
    </row>
    <row r="493">
      <c r="D493" s="141"/>
    </row>
    <row r="494">
      <c r="D494" s="141"/>
    </row>
    <row r="495">
      <c r="D495" s="141"/>
    </row>
    <row r="496">
      <c r="D496" s="141"/>
    </row>
    <row r="497">
      <c r="D497" s="141"/>
    </row>
    <row r="498">
      <c r="D498" s="141"/>
    </row>
    <row r="499">
      <c r="D499" s="141"/>
    </row>
    <row r="500">
      <c r="D500" s="141"/>
    </row>
    <row r="501">
      <c r="D501" s="141"/>
    </row>
    <row r="502">
      <c r="D502" s="141"/>
    </row>
    <row r="503">
      <c r="D503" s="141"/>
    </row>
    <row r="504">
      <c r="D504" s="141"/>
    </row>
    <row r="505">
      <c r="D505" s="141"/>
    </row>
    <row r="506">
      <c r="D506" s="141"/>
    </row>
    <row r="507">
      <c r="D507" s="141"/>
    </row>
    <row r="508">
      <c r="D508" s="141"/>
    </row>
    <row r="509">
      <c r="D509" s="141"/>
    </row>
    <row r="510">
      <c r="D510" s="141"/>
    </row>
    <row r="511">
      <c r="D511" s="141"/>
    </row>
    <row r="512">
      <c r="D512" s="141"/>
    </row>
    <row r="513">
      <c r="D513" s="141"/>
    </row>
    <row r="514">
      <c r="D514" s="141"/>
    </row>
    <row r="515">
      <c r="D515" s="141"/>
    </row>
    <row r="516">
      <c r="D516" s="141"/>
    </row>
    <row r="517">
      <c r="D517" s="141"/>
    </row>
    <row r="518">
      <c r="D518" s="141"/>
    </row>
    <row r="519">
      <c r="D519" s="141"/>
    </row>
    <row r="520">
      <c r="D520" s="141"/>
    </row>
    <row r="521">
      <c r="D521" s="141"/>
    </row>
    <row r="522">
      <c r="D522" s="141"/>
    </row>
    <row r="523">
      <c r="D523" s="141"/>
    </row>
    <row r="524">
      <c r="D524" s="141"/>
    </row>
    <row r="525">
      <c r="D525" s="141"/>
    </row>
    <row r="526">
      <c r="D526" s="141"/>
    </row>
    <row r="527">
      <c r="D527" s="141"/>
    </row>
    <row r="528">
      <c r="D528" s="141"/>
    </row>
    <row r="529">
      <c r="D529" s="141"/>
    </row>
    <row r="530">
      <c r="D530" s="141"/>
    </row>
    <row r="531">
      <c r="D531" s="141"/>
    </row>
    <row r="532">
      <c r="D532" s="141"/>
    </row>
    <row r="533">
      <c r="D533" s="141"/>
    </row>
    <row r="534">
      <c r="D534" s="141"/>
    </row>
    <row r="535">
      <c r="D535" s="141"/>
    </row>
    <row r="536">
      <c r="D536" s="141"/>
    </row>
    <row r="537">
      <c r="D537" s="141"/>
    </row>
    <row r="538">
      <c r="D538" s="141"/>
    </row>
    <row r="539">
      <c r="D539" s="141"/>
    </row>
    <row r="540">
      <c r="D540" s="141"/>
    </row>
    <row r="541">
      <c r="D541" s="141"/>
    </row>
    <row r="542">
      <c r="D542" s="141"/>
    </row>
    <row r="543">
      <c r="D543" s="141"/>
    </row>
    <row r="544">
      <c r="D544" s="141"/>
    </row>
    <row r="545">
      <c r="D545" s="141"/>
    </row>
    <row r="546">
      <c r="D546" s="141"/>
    </row>
    <row r="547">
      <c r="D547" s="141"/>
    </row>
    <row r="548">
      <c r="D548" s="141"/>
    </row>
    <row r="549">
      <c r="D549" s="141"/>
    </row>
    <row r="550">
      <c r="D550" s="141"/>
    </row>
    <row r="551">
      <c r="D551" s="141"/>
    </row>
    <row r="552">
      <c r="D552" s="141"/>
    </row>
    <row r="553">
      <c r="D553" s="141"/>
    </row>
    <row r="554">
      <c r="D554" s="141"/>
    </row>
    <row r="555">
      <c r="D555" s="141"/>
    </row>
    <row r="556">
      <c r="D556" s="141"/>
    </row>
    <row r="557">
      <c r="D557" s="141"/>
    </row>
    <row r="558">
      <c r="D558" s="141"/>
    </row>
    <row r="559">
      <c r="D559" s="141"/>
    </row>
    <row r="560">
      <c r="D560" s="141"/>
    </row>
    <row r="561">
      <c r="D561" s="141"/>
    </row>
    <row r="562">
      <c r="D562" s="141"/>
    </row>
    <row r="563">
      <c r="D563" s="141"/>
    </row>
    <row r="564">
      <c r="D564" s="141"/>
    </row>
    <row r="565">
      <c r="D565" s="141"/>
    </row>
    <row r="566">
      <c r="D566" s="141"/>
    </row>
    <row r="567">
      <c r="D567" s="141"/>
    </row>
    <row r="568">
      <c r="D568" s="141"/>
    </row>
    <row r="569">
      <c r="D569" s="141"/>
    </row>
    <row r="570">
      <c r="D570" s="141"/>
    </row>
    <row r="571">
      <c r="D571" s="141"/>
    </row>
    <row r="572">
      <c r="D572" s="141"/>
    </row>
    <row r="573">
      <c r="D573" s="141"/>
    </row>
    <row r="574">
      <c r="D574" s="141"/>
    </row>
    <row r="575">
      <c r="D575" s="141"/>
    </row>
    <row r="576">
      <c r="D576" s="141"/>
    </row>
    <row r="577">
      <c r="D577" s="141"/>
    </row>
    <row r="578">
      <c r="D578" s="141"/>
    </row>
    <row r="579">
      <c r="D579" s="141"/>
    </row>
    <row r="580">
      <c r="D580" s="141"/>
    </row>
    <row r="581">
      <c r="D581" s="141"/>
    </row>
    <row r="582">
      <c r="D582" s="141"/>
    </row>
    <row r="583">
      <c r="D583" s="141"/>
    </row>
    <row r="584">
      <c r="D584" s="141"/>
    </row>
    <row r="585">
      <c r="D585" s="141"/>
    </row>
    <row r="586">
      <c r="D586" s="141"/>
    </row>
    <row r="587">
      <c r="D587" s="141"/>
    </row>
    <row r="588">
      <c r="D588" s="141"/>
    </row>
    <row r="589">
      <c r="D589" s="141"/>
    </row>
    <row r="590">
      <c r="D590" s="141"/>
    </row>
    <row r="591">
      <c r="D591" s="141"/>
    </row>
    <row r="592">
      <c r="D592" s="141"/>
    </row>
    <row r="593">
      <c r="D593" s="141"/>
    </row>
    <row r="594">
      <c r="D594" s="141"/>
    </row>
    <row r="595">
      <c r="D595" s="141"/>
    </row>
    <row r="596">
      <c r="D596" s="141"/>
    </row>
    <row r="597">
      <c r="D597" s="141"/>
    </row>
    <row r="598">
      <c r="D598" s="141"/>
    </row>
    <row r="599">
      <c r="D599" s="141"/>
    </row>
    <row r="600">
      <c r="D600" s="141"/>
    </row>
    <row r="601">
      <c r="D601" s="141"/>
    </row>
    <row r="602">
      <c r="D602" s="141"/>
    </row>
    <row r="603">
      <c r="D603" s="141"/>
    </row>
    <row r="604">
      <c r="D604" s="141"/>
    </row>
    <row r="605">
      <c r="D605" s="141"/>
    </row>
    <row r="606">
      <c r="D606" s="141"/>
    </row>
    <row r="607">
      <c r="D607" s="141"/>
    </row>
    <row r="608">
      <c r="D608" s="141"/>
    </row>
    <row r="609">
      <c r="D609" s="141"/>
    </row>
    <row r="610">
      <c r="D610" s="141"/>
    </row>
    <row r="611">
      <c r="D611" s="141"/>
    </row>
    <row r="612">
      <c r="D612" s="141"/>
    </row>
    <row r="613">
      <c r="D613" s="141"/>
    </row>
    <row r="614">
      <c r="D614" s="141"/>
    </row>
    <row r="615">
      <c r="D615" s="141"/>
    </row>
    <row r="616">
      <c r="D616" s="141"/>
    </row>
    <row r="617">
      <c r="D617" s="141"/>
    </row>
    <row r="618">
      <c r="D618" s="141"/>
    </row>
    <row r="619">
      <c r="D619" s="141"/>
    </row>
    <row r="620">
      <c r="D620" s="141"/>
    </row>
    <row r="621">
      <c r="D621" s="141"/>
    </row>
    <row r="622">
      <c r="D622" s="141"/>
    </row>
    <row r="623">
      <c r="D623" s="141"/>
    </row>
    <row r="624">
      <c r="D624" s="141"/>
    </row>
    <row r="625">
      <c r="D625" s="141"/>
    </row>
    <row r="626">
      <c r="D626" s="141"/>
    </row>
    <row r="627">
      <c r="D627" s="141"/>
    </row>
    <row r="628">
      <c r="D628" s="141"/>
    </row>
    <row r="629">
      <c r="D629" s="141"/>
    </row>
    <row r="630">
      <c r="D630" s="141"/>
    </row>
    <row r="631">
      <c r="D631" s="141"/>
    </row>
    <row r="632">
      <c r="D632" s="141"/>
    </row>
    <row r="633">
      <c r="D633" s="141"/>
    </row>
    <row r="634">
      <c r="D634" s="141"/>
    </row>
    <row r="635">
      <c r="D635" s="141"/>
    </row>
    <row r="636">
      <c r="D636" s="141"/>
    </row>
    <row r="637">
      <c r="D637" s="141"/>
    </row>
    <row r="638">
      <c r="D638" s="141"/>
    </row>
    <row r="639">
      <c r="D639" s="141"/>
    </row>
    <row r="640">
      <c r="D640" s="141"/>
    </row>
    <row r="641">
      <c r="D641" s="141"/>
    </row>
    <row r="642">
      <c r="D642" s="141"/>
    </row>
    <row r="643">
      <c r="D643" s="141"/>
    </row>
    <row r="644">
      <c r="D644" s="141"/>
    </row>
    <row r="645">
      <c r="D645" s="141"/>
    </row>
    <row r="646">
      <c r="D646" s="141"/>
    </row>
    <row r="647">
      <c r="D647" s="141"/>
    </row>
    <row r="648">
      <c r="D648" s="141"/>
    </row>
    <row r="649">
      <c r="D649" s="141"/>
    </row>
    <row r="650">
      <c r="D650" s="141"/>
    </row>
    <row r="651">
      <c r="D651" s="141"/>
    </row>
    <row r="652">
      <c r="D652" s="141"/>
    </row>
    <row r="653">
      <c r="D653" s="141"/>
    </row>
    <row r="654">
      <c r="D654" s="141"/>
    </row>
    <row r="655">
      <c r="D655" s="141"/>
    </row>
    <row r="656">
      <c r="D656" s="141"/>
    </row>
    <row r="657">
      <c r="D657" s="141"/>
    </row>
    <row r="658">
      <c r="D658" s="141"/>
    </row>
    <row r="659">
      <c r="D659" s="141"/>
    </row>
    <row r="660">
      <c r="D660" s="141"/>
    </row>
    <row r="661">
      <c r="D661" s="141"/>
    </row>
    <row r="662">
      <c r="D662" s="141"/>
    </row>
    <row r="663">
      <c r="D663" s="141"/>
    </row>
    <row r="664">
      <c r="D664" s="141"/>
    </row>
    <row r="665">
      <c r="D665" s="141"/>
    </row>
    <row r="666">
      <c r="D666" s="141"/>
    </row>
    <row r="667">
      <c r="D667" s="141"/>
    </row>
    <row r="668">
      <c r="D668" s="141"/>
    </row>
    <row r="669">
      <c r="D669" s="141"/>
    </row>
    <row r="670">
      <c r="D670" s="141"/>
    </row>
    <row r="671">
      <c r="D671" s="141"/>
    </row>
    <row r="672">
      <c r="D672" s="141"/>
    </row>
    <row r="673">
      <c r="D673" s="141"/>
    </row>
    <row r="674">
      <c r="D674" s="141"/>
    </row>
    <row r="675">
      <c r="D675" s="141"/>
    </row>
    <row r="676">
      <c r="D676" s="141"/>
    </row>
    <row r="677">
      <c r="D677" s="141"/>
    </row>
    <row r="678">
      <c r="D678" s="141"/>
    </row>
    <row r="679">
      <c r="D679" s="141"/>
    </row>
    <row r="680">
      <c r="D680" s="141"/>
    </row>
    <row r="681">
      <c r="D681" s="141"/>
    </row>
    <row r="682">
      <c r="D682" s="141"/>
    </row>
    <row r="683">
      <c r="D683" s="141"/>
    </row>
    <row r="684">
      <c r="D684" s="141"/>
    </row>
    <row r="685">
      <c r="D685" s="141"/>
    </row>
    <row r="686">
      <c r="D686" s="141"/>
    </row>
    <row r="687">
      <c r="D687" s="141"/>
    </row>
    <row r="688">
      <c r="D688" s="141"/>
    </row>
    <row r="689">
      <c r="D689" s="141"/>
    </row>
    <row r="690">
      <c r="D690" s="141"/>
    </row>
    <row r="691">
      <c r="D691" s="141"/>
    </row>
    <row r="692">
      <c r="D692" s="141"/>
    </row>
    <row r="693">
      <c r="D693" s="141"/>
    </row>
    <row r="694">
      <c r="D694" s="141"/>
    </row>
    <row r="695">
      <c r="D695" s="141"/>
    </row>
    <row r="696">
      <c r="D696" s="141"/>
    </row>
    <row r="697">
      <c r="D697" s="141"/>
    </row>
    <row r="698">
      <c r="D698" s="141"/>
    </row>
    <row r="699">
      <c r="D699" s="141"/>
    </row>
    <row r="700">
      <c r="D700" s="141"/>
    </row>
    <row r="701">
      <c r="D701" s="141"/>
    </row>
    <row r="702">
      <c r="D702" s="141"/>
    </row>
    <row r="703">
      <c r="D703" s="141"/>
    </row>
    <row r="704">
      <c r="D704" s="141"/>
    </row>
    <row r="705">
      <c r="D705" s="141"/>
    </row>
    <row r="706">
      <c r="D706" s="141"/>
    </row>
    <row r="707">
      <c r="D707" s="141"/>
    </row>
    <row r="708">
      <c r="D708" s="141"/>
    </row>
    <row r="709">
      <c r="D709" s="141"/>
    </row>
    <row r="710">
      <c r="D710" s="141"/>
    </row>
    <row r="711">
      <c r="D711" s="141"/>
    </row>
    <row r="712">
      <c r="D712" s="141"/>
    </row>
    <row r="713">
      <c r="D713" s="141"/>
    </row>
    <row r="714">
      <c r="D714" s="141"/>
    </row>
    <row r="715">
      <c r="D715" s="141"/>
    </row>
    <row r="716">
      <c r="D716" s="141"/>
    </row>
    <row r="717">
      <c r="D717" s="141"/>
    </row>
    <row r="718">
      <c r="D718" s="141"/>
    </row>
    <row r="719">
      <c r="D719" s="141"/>
    </row>
    <row r="720">
      <c r="D720" s="141"/>
    </row>
    <row r="721">
      <c r="D721" s="141"/>
    </row>
    <row r="722">
      <c r="D722" s="141"/>
    </row>
    <row r="723">
      <c r="D723" s="141"/>
    </row>
    <row r="724">
      <c r="D724" s="141"/>
    </row>
    <row r="725">
      <c r="D725" s="141"/>
    </row>
    <row r="726">
      <c r="D726" s="141"/>
    </row>
    <row r="727">
      <c r="D727" s="141"/>
    </row>
    <row r="728">
      <c r="D728" s="141"/>
    </row>
    <row r="729">
      <c r="D729" s="141"/>
    </row>
    <row r="730">
      <c r="D730" s="141"/>
    </row>
    <row r="731">
      <c r="D731" s="141"/>
    </row>
    <row r="732">
      <c r="D732" s="141"/>
    </row>
    <row r="733">
      <c r="D733" s="141"/>
    </row>
    <row r="734">
      <c r="D734" s="141"/>
    </row>
    <row r="735">
      <c r="D735" s="141"/>
    </row>
    <row r="736">
      <c r="D736" s="141"/>
    </row>
    <row r="737">
      <c r="D737" s="141"/>
    </row>
    <row r="738">
      <c r="D738" s="141"/>
    </row>
    <row r="739">
      <c r="D739" s="141"/>
    </row>
    <row r="740">
      <c r="D740" s="141"/>
    </row>
    <row r="741">
      <c r="D741" s="141"/>
    </row>
    <row r="742">
      <c r="D742" s="141"/>
    </row>
    <row r="743">
      <c r="D743" s="141"/>
    </row>
    <row r="744">
      <c r="D744" s="141"/>
    </row>
    <row r="745">
      <c r="D745" s="141"/>
    </row>
    <row r="746">
      <c r="D746" s="141"/>
    </row>
    <row r="747">
      <c r="D747" s="141"/>
    </row>
    <row r="748">
      <c r="D748" s="141"/>
    </row>
    <row r="749">
      <c r="D749" s="141"/>
    </row>
    <row r="750">
      <c r="D750" s="141"/>
    </row>
    <row r="751">
      <c r="D751" s="141"/>
    </row>
    <row r="752">
      <c r="D752" s="141"/>
    </row>
    <row r="753">
      <c r="D753" s="141"/>
    </row>
    <row r="754">
      <c r="D754" s="141"/>
    </row>
    <row r="755">
      <c r="D755" s="141"/>
    </row>
    <row r="756">
      <c r="D756" s="141"/>
    </row>
    <row r="757">
      <c r="D757" s="141"/>
    </row>
    <row r="758">
      <c r="D758" s="141"/>
    </row>
    <row r="759">
      <c r="D759" s="141"/>
    </row>
    <row r="760">
      <c r="D760" s="141"/>
    </row>
    <row r="761">
      <c r="D761" s="141"/>
    </row>
    <row r="762">
      <c r="D762" s="141"/>
    </row>
    <row r="763">
      <c r="D763" s="141"/>
    </row>
    <row r="764">
      <c r="D764" s="141"/>
    </row>
    <row r="765">
      <c r="D765" s="141"/>
    </row>
    <row r="766">
      <c r="D766" s="141"/>
    </row>
    <row r="767">
      <c r="D767" s="141"/>
    </row>
    <row r="768">
      <c r="D768" s="141"/>
    </row>
    <row r="769">
      <c r="D769" s="141"/>
    </row>
    <row r="770">
      <c r="D770" s="141"/>
    </row>
    <row r="771">
      <c r="D771" s="141"/>
    </row>
    <row r="772">
      <c r="D772" s="141"/>
    </row>
    <row r="773">
      <c r="D773" s="141"/>
    </row>
    <row r="774">
      <c r="D774" s="141"/>
    </row>
    <row r="775">
      <c r="D775" s="141"/>
    </row>
    <row r="776">
      <c r="D776" s="141"/>
    </row>
    <row r="777">
      <c r="D777" s="141"/>
    </row>
    <row r="778">
      <c r="D778" s="141"/>
    </row>
    <row r="779">
      <c r="D779" s="141"/>
    </row>
    <row r="780">
      <c r="D780" s="141"/>
    </row>
    <row r="781">
      <c r="D781" s="141"/>
    </row>
    <row r="782">
      <c r="D782" s="141"/>
    </row>
    <row r="783">
      <c r="D783" s="141"/>
    </row>
    <row r="784">
      <c r="D784" s="141"/>
    </row>
    <row r="785">
      <c r="D785" s="141"/>
    </row>
    <row r="786">
      <c r="D786" s="141"/>
    </row>
    <row r="787">
      <c r="D787" s="141"/>
    </row>
    <row r="788">
      <c r="D788" s="141"/>
    </row>
    <row r="789">
      <c r="D789" s="141"/>
    </row>
    <row r="790">
      <c r="D790" s="141"/>
    </row>
    <row r="791">
      <c r="D791" s="141"/>
    </row>
    <row r="792">
      <c r="D792" s="141"/>
    </row>
    <row r="793">
      <c r="D793" s="141"/>
    </row>
    <row r="794">
      <c r="D794" s="141"/>
    </row>
    <row r="795">
      <c r="D795" s="141"/>
    </row>
    <row r="796">
      <c r="D796" s="141"/>
    </row>
    <row r="797">
      <c r="D797" s="141"/>
    </row>
    <row r="798">
      <c r="D798" s="141"/>
    </row>
    <row r="799">
      <c r="D799" s="141"/>
    </row>
    <row r="800">
      <c r="D800" s="141"/>
    </row>
    <row r="801">
      <c r="D801" s="141"/>
    </row>
    <row r="802">
      <c r="D802" s="141"/>
    </row>
    <row r="803">
      <c r="D803" s="141"/>
    </row>
    <row r="804">
      <c r="D804" s="141"/>
    </row>
    <row r="805">
      <c r="D805" s="141"/>
    </row>
    <row r="806">
      <c r="D806" s="141"/>
    </row>
    <row r="807">
      <c r="D807" s="141"/>
    </row>
    <row r="808">
      <c r="D808" s="141"/>
    </row>
    <row r="809">
      <c r="D809" s="141"/>
    </row>
    <row r="810">
      <c r="D810" s="141"/>
    </row>
    <row r="811">
      <c r="D811" s="141"/>
    </row>
    <row r="812">
      <c r="D812" s="141"/>
    </row>
    <row r="813">
      <c r="D813" s="141"/>
    </row>
    <row r="814">
      <c r="D814" s="141"/>
    </row>
    <row r="815">
      <c r="D815" s="141"/>
    </row>
    <row r="816">
      <c r="D816" s="141"/>
    </row>
    <row r="817">
      <c r="D817" s="141"/>
    </row>
    <row r="818">
      <c r="D818" s="141"/>
    </row>
    <row r="819">
      <c r="D819" s="141"/>
    </row>
    <row r="820">
      <c r="D820" s="141"/>
    </row>
    <row r="821">
      <c r="D821" s="141"/>
    </row>
    <row r="822">
      <c r="D822" s="141"/>
    </row>
    <row r="823">
      <c r="D823" s="141"/>
    </row>
    <row r="824">
      <c r="D824" s="141"/>
    </row>
    <row r="825">
      <c r="D825" s="141"/>
    </row>
    <row r="826">
      <c r="D826" s="141"/>
    </row>
    <row r="827">
      <c r="D827" s="141"/>
    </row>
    <row r="828">
      <c r="D828" s="141"/>
    </row>
    <row r="829">
      <c r="D829" s="141"/>
    </row>
    <row r="830">
      <c r="D830" s="141"/>
    </row>
    <row r="831">
      <c r="D831" s="141"/>
    </row>
    <row r="832">
      <c r="D832" s="141"/>
    </row>
    <row r="833">
      <c r="D833" s="141"/>
    </row>
    <row r="834">
      <c r="D834" s="141"/>
    </row>
    <row r="835">
      <c r="D835" s="141"/>
    </row>
    <row r="836">
      <c r="D836" s="141"/>
    </row>
    <row r="837">
      <c r="D837" s="141"/>
    </row>
    <row r="838">
      <c r="D838" s="141"/>
    </row>
    <row r="839">
      <c r="D839" s="141"/>
    </row>
    <row r="840">
      <c r="D840" s="141"/>
    </row>
    <row r="841">
      <c r="D841" s="141"/>
    </row>
    <row r="842">
      <c r="D842" s="141"/>
    </row>
    <row r="843">
      <c r="D843" s="141"/>
    </row>
    <row r="844">
      <c r="D844" s="141"/>
    </row>
    <row r="845">
      <c r="D845" s="141"/>
    </row>
    <row r="846">
      <c r="D846" s="141"/>
    </row>
    <row r="847">
      <c r="D847" s="141"/>
    </row>
    <row r="848">
      <c r="D848" s="141"/>
    </row>
    <row r="849">
      <c r="D849" s="141"/>
    </row>
    <row r="850">
      <c r="D850" s="141"/>
    </row>
    <row r="851">
      <c r="D851" s="141"/>
    </row>
    <row r="852">
      <c r="D852" s="141"/>
    </row>
    <row r="853">
      <c r="D853" s="141"/>
    </row>
    <row r="854">
      <c r="D854" s="141"/>
    </row>
    <row r="855">
      <c r="D855" s="141"/>
    </row>
    <row r="856">
      <c r="D856" s="141"/>
    </row>
    <row r="857">
      <c r="D857" s="141"/>
    </row>
    <row r="858">
      <c r="D858" s="141"/>
    </row>
    <row r="859">
      <c r="D859" s="141"/>
    </row>
    <row r="860">
      <c r="D860" s="141"/>
    </row>
    <row r="861">
      <c r="D861" s="141"/>
    </row>
    <row r="862">
      <c r="D862" s="141"/>
    </row>
    <row r="863">
      <c r="D863" s="141"/>
    </row>
    <row r="864">
      <c r="D864" s="141"/>
    </row>
    <row r="865">
      <c r="D865" s="141"/>
    </row>
    <row r="866">
      <c r="D866" s="141"/>
    </row>
    <row r="867">
      <c r="D867" s="141"/>
    </row>
    <row r="868">
      <c r="D868" s="141"/>
    </row>
    <row r="869">
      <c r="D869" s="141"/>
    </row>
    <row r="870">
      <c r="D870" s="141"/>
    </row>
    <row r="871">
      <c r="D871" s="141"/>
    </row>
    <row r="872">
      <c r="D872" s="141"/>
    </row>
    <row r="873">
      <c r="D873" s="141"/>
    </row>
    <row r="874">
      <c r="D874" s="141"/>
    </row>
    <row r="875">
      <c r="D875" s="141"/>
    </row>
    <row r="876">
      <c r="D876" s="141"/>
    </row>
    <row r="877">
      <c r="D877" s="141"/>
    </row>
    <row r="878">
      <c r="D878" s="141"/>
    </row>
    <row r="879">
      <c r="D879" s="141"/>
    </row>
    <row r="880">
      <c r="D880" s="141"/>
    </row>
    <row r="881">
      <c r="D881" s="141"/>
    </row>
    <row r="882">
      <c r="D882" s="141"/>
    </row>
    <row r="883">
      <c r="D883" s="141"/>
    </row>
    <row r="884">
      <c r="D884" s="141"/>
    </row>
    <row r="885">
      <c r="D885" s="141"/>
    </row>
    <row r="886">
      <c r="D886" s="141"/>
    </row>
    <row r="887">
      <c r="D887" s="141"/>
    </row>
    <row r="888">
      <c r="D888" s="141"/>
    </row>
    <row r="889">
      <c r="D889" s="141"/>
    </row>
    <row r="890">
      <c r="D890" s="141"/>
    </row>
    <row r="891">
      <c r="D891" s="141"/>
    </row>
    <row r="892">
      <c r="D892" s="141"/>
    </row>
    <row r="893">
      <c r="D893" s="141"/>
    </row>
    <row r="894">
      <c r="D894" s="141"/>
    </row>
    <row r="895">
      <c r="D895" s="141"/>
    </row>
    <row r="896">
      <c r="D896" s="141"/>
    </row>
    <row r="897">
      <c r="D897" s="141"/>
    </row>
    <row r="898">
      <c r="D898" s="141"/>
    </row>
    <row r="899">
      <c r="D899" s="141"/>
    </row>
    <row r="900">
      <c r="D900" s="141"/>
    </row>
    <row r="901">
      <c r="D901" s="141"/>
    </row>
    <row r="902">
      <c r="D902" s="141"/>
    </row>
    <row r="903">
      <c r="D903" s="141"/>
    </row>
    <row r="904">
      <c r="D904" s="141"/>
    </row>
    <row r="905">
      <c r="D905" s="141"/>
    </row>
    <row r="906">
      <c r="D906" s="141"/>
    </row>
    <row r="907">
      <c r="D907" s="141"/>
    </row>
    <row r="908">
      <c r="D908" s="141"/>
    </row>
    <row r="909">
      <c r="D909" s="141"/>
    </row>
    <row r="910">
      <c r="D910" s="141"/>
    </row>
    <row r="911">
      <c r="D911" s="141"/>
    </row>
    <row r="912">
      <c r="D912" s="141"/>
    </row>
    <row r="913">
      <c r="D913" s="141"/>
    </row>
    <row r="914">
      <c r="D914" s="141"/>
    </row>
    <row r="915">
      <c r="D915" s="141"/>
    </row>
    <row r="916">
      <c r="D916" s="141"/>
    </row>
    <row r="917">
      <c r="D917" s="141"/>
    </row>
    <row r="918">
      <c r="D918" s="141"/>
    </row>
    <row r="919">
      <c r="D919" s="141"/>
    </row>
    <row r="920">
      <c r="D920" s="141"/>
    </row>
    <row r="921">
      <c r="D921" s="141"/>
    </row>
    <row r="922">
      <c r="D922" s="141"/>
    </row>
    <row r="923">
      <c r="D923" s="141"/>
    </row>
    <row r="924">
      <c r="D924" s="141"/>
    </row>
    <row r="925">
      <c r="D925" s="141"/>
    </row>
    <row r="926">
      <c r="D926" s="141"/>
    </row>
    <row r="927">
      <c r="D927" s="141"/>
    </row>
    <row r="928">
      <c r="D928" s="141"/>
    </row>
    <row r="929">
      <c r="D929" s="141"/>
    </row>
    <row r="930">
      <c r="D930" s="141"/>
    </row>
    <row r="931">
      <c r="D931" s="141"/>
    </row>
    <row r="932">
      <c r="D932" s="141"/>
    </row>
    <row r="933">
      <c r="D933" s="141"/>
    </row>
    <row r="934">
      <c r="D934" s="141"/>
    </row>
    <row r="935">
      <c r="D935" s="141"/>
    </row>
    <row r="936">
      <c r="D936" s="141"/>
    </row>
    <row r="937">
      <c r="D937" s="141"/>
    </row>
    <row r="938">
      <c r="D938" s="141"/>
    </row>
    <row r="939">
      <c r="D939" s="141"/>
    </row>
    <row r="940">
      <c r="D940" s="141"/>
    </row>
    <row r="941">
      <c r="D941" s="141"/>
    </row>
    <row r="942">
      <c r="D942" s="141"/>
    </row>
    <row r="943">
      <c r="D943" s="141"/>
    </row>
    <row r="944">
      <c r="D944" s="141"/>
    </row>
    <row r="945">
      <c r="D945" s="141"/>
    </row>
    <row r="946">
      <c r="D946" s="141"/>
    </row>
    <row r="947">
      <c r="D947" s="141"/>
    </row>
    <row r="948">
      <c r="D948" s="141"/>
    </row>
    <row r="949">
      <c r="D949" s="141"/>
    </row>
    <row r="950">
      <c r="D950" s="141"/>
    </row>
    <row r="951">
      <c r="D951" s="141"/>
    </row>
    <row r="952">
      <c r="D952" s="141"/>
    </row>
    <row r="953">
      <c r="D953" s="141"/>
    </row>
    <row r="954">
      <c r="D954" s="141"/>
    </row>
    <row r="955">
      <c r="D955" s="141"/>
    </row>
    <row r="956">
      <c r="D956" s="141"/>
    </row>
    <row r="957">
      <c r="D957" s="141"/>
    </row>
    <row r="958">
      <c r="D958" s="141"/>
    </row>
    <row r="959">
      <c r="D959" s="141"/>
    </row>
    <row r="960">
      <c r="D960" s="141"/>
    </row>
    <row r="961">
      <c r="D961" s="141"/>
    </row>
    <row r="962">
      <c r="D962" s="141"/>
    </row>
    <row r="963">
      <c r="D963" s="141"/>
    </row>
    <row r="964">
      <c r="D964" s="141"/>
    </row>
    <row r="965">
      <c r="D965" s="141"/>
    </row>
    <row r="966">
      <c r="D966" s="141"/>
    </row>
    <row r="967">
      <c r="D967" s="141"/>
    </row>
    <row r="968">
      <c r="D968" s="141"/>
    </row>
    <row r="969">
      <c r="D969" s="141"/>
    </row>
    <row r="970">
      <c r="D970" s="141"/>
    </row>
    <row r="971">
      <c r="D971" s="141"/>
    </row>
    <row r="972">
      <c r="D972" s="141"/>
    </row>
    <row r="973">
      <c r="D973" s="141"/>
    </row>
    <row r="974">
      <c r="D974" s="141"/>
    </row>
    <row r="975">
      <c r="D975" s="141"/>
    </row>
    <row r="976">
      <c r="D976" s="141"/>
    </row>
    <row r="977">
      <c r="D977" s="141"/>
    </row>
    <row r="978">
      <c r="D978" s="141"/>
    </row>
    <row r="979">
      <c r="D979" s="141"/>
    </row>
    <row r="980">
      <c r="D980" s="141"/>
    </row>
    <row r="981">
      <c r="D981" s="141"/>
    </row>
    <row r="982">
      <c r="D982" s="141"/>
    </row>
    <row r="983">
      <c r="D983" s="141"/>
    </row>
    <row r="984">
      <c r="D984" s="141"/>
    </row>
    <row r="985">
      <c r="D985" s="141"/>
    </row>
    <row r="986">
      <c r="D986" s="141"/>
    </row>
    <row r="987">
      <c r="D987" s="141"/>
    </row>
    <row r="988">
      <c r="D988" s="141"/>
    </row>
    <row r="989">
      <c r="D989" s="141"/>
    </row>
    <row r="990">
      <c r="D990" s="141"/>
    </row>
    <row r="991">
      <c r="D991" s="141"/>
    </row>
    <row r="992">
      <c r="D992" s="141"/>
    </row>
    <row r="993">
      <c r="D993" s="141"/>
    </row>
    <row r="994">
      <c r="D994" s="141"/>
    </row>
    <row r="995">
      <c r="D995" s="141"/>
    </row>
    <row r="996">
      <c r="D996" s="141"/>
    </row>
    <row r="997">
      <c r="D997" s="141"/>
    </row>
    <row r="998">
      <c r="D998" s="141"/>
    </row>
    <row r="999">
      <c r="D999" s="141"/>
    </row>
    <row r="1000">
      <c r="D1000" s="141"/>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J8"/>
    <hyperlink r:id="rId16" ref="E9"/>
    <hyperlink r:id="rId17" ref="I9"/>
    <hyperlink r:id="rId18" ref="E10"/>
    <hyperlink r:id="rId19" ref="I10"/>
    <hyperlink r:id="rId20" ref="J10"/>
    <hyperlink r:id="rId21" ref="E11"/>
    <hyperlink r:id="rId22" ref="I11"/>
    <hyperlink r:id="rId23" ref="J11"/>
    <hyperlink r:id="rId24" ref="E12"/>
    <hyperlink r:id="rId25" ref="I12"/>
    <hyperlink r:id="rId26" ref="E13"/>
    <hyperlink r:id="rId27" ref="I13"/>
    <hyperlink r:id="rId28" ref="E14"/>
    <hyperlink r:id="rId29" ref="I14"/>
    <hyperlink r:id="rId30" ref="E15"/>
    <hyperlink r:id="rId31" ref="I15"/>
    <hyperlink r:id="rId32" ref="J15"/>
    <hyperlink r:id="rId33" ref="E16"/>
    <hyperlink r:id="rId34" ref="I16"/>
    <hyperlink r:id="rId35" ref="E17"/>
    <hyperlink r:id="rId36" ref="I17"/>
    <hyperlink r:id="rId37" ref="E18"/>
    <hyperlink r:id="rId38" ref="I18"/>
    <hyperlink r:id="rId39" ref="E19"/>
    <hyperlink r:id="rId40" ref="I19"/>
    <hyperlink r:id="rId41" ref="E20"/>
    <hyperlink r:id="rId42" ref="I20"/>
    <hyperlink r:id="rId43" ref="E21"/>
    <hyperlink r:id="rId44" ref="I21"/>
    <hyperlink r:id="rId45" ref="E22"/>
    <hyperlink r:id="rId46" ref="I22"/>
    <hyperlink r:id="rId47" ref="E23"/>
    <hyperlink r:id="rId48" ref="I23"/>
    <hyperlink r:id="rId49" ref="E24"/>
    <hyperlink r:id="rId50" ref="I24"/>
    <hyperlink r:id="rId51" ref="E25"/>
    <hyperlink r:id="rId52" ref="I25"/>
    <hyperlink r:id="rId53" ref="E26"/>
    <hyperlink r:id="rId54" ref="I26"/>
    <hyperlink r:id="rId55" ref="E27"/>
    <hyperlink r:id="rId56" ref="I27"/>
    <hyperlink r:id="rId57" ref="E28"/>
    <hyperlink r:id="rId58" ref="I28"/>
    <hyperlink r:id="rId59" ref="E29"/>
    <hyperlink r:id="rId60" ref="I29"/>
    <hyperlink r:id="rId61" ref="E30"/>
    <hyperlink r:id="rId62" ref="I30"/>
    <hyperlink r:id="rId63" ref="E31"/>
    <hyperlink r:id="rId64" ref="I31"/>
    <hyperlink r:id="rId65" ref="E32"/>
    <hyperlink r:id="rId66" ref="I32"/>
    <hyperlink r:id="rId67" ref="E33"/>
    <hyperlink r:id="rId68" ref="I33"/>
    <hyperlink r:id="rId69" ref="E34"/>
    <hyperlink r:id="rId70" ref="I34"/>
    <hyperlink r:id="rId71" ref="E35"/>
    <hyperlink r:id="rId72" ref="I35"/>
    <hyperlink r:id="rId73" ref="E36"/>
    <hyperlink r:id="rId74" ref="I36"/>
    <hyperlink r:id="rId75" ref="E37"/>
    <hyperlink r:id="rId76" ref="I37"/>
    <hyperlink r:id="rId77" ref="E38"/>
    <hyperlink r:id="rId78" ref="I38"/>
    <hyperlink r:id="rId79" ref="E39"/>
    <hyperlink r:id="rId80" ref="I39"/>
    <hyperlink r:id="rId81" ref="E40"/>
    <hyperlink r:id="rId82" ref="I40"/>
    <hyperlink r:id="rId83" ref="E41"/>
    <hyperlink r:id="rId84" ref="I41"/>
    <hyperlink r:id="rId85" ref="E42"/>
    <hyperlink r:id="rId86" ref="I42"/>
    <hyperlink r:id="rId87" ref="E43"/>
    <hyperlink r:id="rId88" ref="I43"/>
    <hyperlink r:id="rId89" ref="E44"/>
    <hyperlink r:id="rId90" ref="I44"/>
    <hyperlink r:id="rId91" ref="E45"/>
    <hyperlink r:id="rId92" ref="I45"/>
    <hyperlink r:id="rId93" ref="E46"/>
    <hyperlink r:id="rId94" ref="I46"/>
    <hyperlink r:id="rId95" ref="E47"/>
    <hyperlink r:id="rId96" ref="I47"/>
    <hyperlink r:id="rId97" ref="E48"/>
    <hyperlink r:id="rId98" ref="I48"/>
    <hyperlink r:id="rId99" ref="E49"/>
    <hyperlink r:id="rId100" ref="I49"/>
    <hyperlink r:id="rId101" ref="E50"/>
    <hyperlink r:id="rId102" ref="I50"/>
    <hyperlink r:id="rId103" ref="E51"/>
    <hyperlink r:id="rId104" ref="I51"/>
    <hyperlink r:id="rId105" ref="E52"/>
    <hyperlink r:id="rId106" ref="I52"/>
    <hyperlink r:id="rId107" ref="E53"/>
    <hyperlink r:id="rId108" ref="I53"/>
    <hyperlink r:id="rId109" ref="E54"/>
    <hyperlink r:id="rId110" ref="I54"/>
    <hyperlink r:id="rId111" ref="E55"/>
    <hyperlink r:id="rId112" ref="I55"/>
    <hyperlink r:id="rId113" ref="E56"/>
    <hyperlink r:id="rId114" ref="I56"/>
    <hyperlink r:id="rId115" ref="E57"/>
    <hyperlink r:id="rId116" ref="I57"/>
    <hyperlink r:id="rId117" ref="E58"/>
    <hyperlink r:id="rId118" ref="I58"/>
    <hyperlink r:id="rId119" ref="E59"/>
    <hyperlink r:id="rId120" ref="I59"/>
    <hyperlink r:id="rId121" ref="E60"/>
    <hyperlink r:id="rId122" ref="I60"/>
    <hyperlink r:id="rId123" ref="E61"/>
    <hyperlink r:id="rId124" ref="I61"/>
    <hyperlink r:id="rId125" ref="E62"/>
    <hyperlink r:id="rId126" ref="I62"/>
    <hyperlink r:id="rId127" ref="E63"/>
    <hyperlink r:id="rId128" ref="I63"/>
    <hyperlink r:id="rId129" ref="E64"/>
    <hyperlink r:id="rId130" ref="I64"/>
    <hyperlink r:id="rId131" ref="E65"/>
    <hyperlink r:id="rId132" ref="I65"/>
    <hyperlink r:id="rId133" ref="E66"/>
    <hyperlink r:id="rId134" ref="I66"/>
    <hyperlink r:id="rId135" ref="E67"/>
    <hyperlink r:id="rId136" ref="I67"/>
    <hyperlink r:id="rId137" ref="E68"/>
    <hyperlink r:id="rId138" ref="I68"/>
    <hyperlink r:id="rId139" ref="E69"/>
    <hyperlink r:id="rId140" ref="I69"/>
    <hyperlink r:id="rId141" ref="E70"/>
    <hyperlink r:id="rId142" ref="I70"/>
    <hyperlink r:id="rId143" ref="E71"/>
    <hyperlink r:id="rId144" ref="I71"/>
    <hyperlink r:id="rId145" ref="E72"/>
    <hyperlink r:id="rId146" ref="I72"/>
    <hyperlink r:id="rId147" ref="E73"/>
    <hyperlink r:id="rId148" ref="I73"/>
    <hyperlink r:id="rId149" ref="E74"/>
    <hyperlink r:id="rId150" ref="I74"/>
    <hyperlink r:id="rId151" ref="E75"/>
    <hyperlink r:id="rId152" ref="I75"/>
    <hyperlink r:id="rId153" ref="E76"/>
    <hyperlink r:id="rId154" ref="J76"/>
    <hyperlink r:id="rId155" ref="E77"/>
    <hyperlink r:id="rId156" ref="J77"/>
    <hyperlink r:id="rId157" ref="E78"/>
    <hyperlink r:id="rId158" ref="J78"/>
    <hyperlink r:id="rId159" ref="E79"/>
    <hyperlink r:id="rId160" ref="J79"/>
    <hyperlink r:id="rId161" ref="E80"/>
    <hyperlink r:id="rId162" ref="J80"/>
    <hyperlink r:id="rId163" ref="E81"/>
    <hyperlink r:id="rId164" ref="J81"/>
    <hyperlink r:id="rId165" ref="E82"/>
    <hyperlink r:id="rId166" ref="I82"/>
    <hyperlink r:id="rId167" ref="E83"/>
    <hyperlink r:id="rId168" ref="I83"/>
    <hyperlink r:id="rId169" ref="E84"/>
    <hyperlink r:id="rId170" ref="J84"/>
    <hyperlink r:id="rId171" ref="E85"/>
    <hyperlink r:id="rId172" ref="I85"/>
    <hyperlink r:id="rId173" ref="J85"/>
    <hyperlink r:id="rId174" ref="E86"/>
    <hyperlink r:id="rId175" ref="I86"/>
    <hyperlink r:id="rId176" ref="E87"/>
    <hyperlink r:id="rId177" ref="I87"/>
    <hyperlink r:id="rId178" ref="E88"/>
    <hyperlink r:id="rId179" ref="I88"/>
    <hyperlink r:id="rId180" ref="E89"/>
    <hyperlink r:id="rId181" ref="I89"/>
    <hyperlink r:id="rId182" ref="E90"/>
    <hyperlink r:id="rId183" ref="I90"/>
    <hyperlink r:id="rId184" ref="E91"/>
    <hyperlink r:id="rId185" ref="I91"/>
    <hyperlink r:id="rId186" ref="E92"/>
    <hyperlink r:id="rId187" ref="I92"/>
    <hyperlink r:id="rId188" ref="J92"/>
    <hyperlink r:id="rId189" ref="E93"/>
    <hyperlink r:id="rId190" ref="I93"/>
    <hyperlink r:id="rId191" ref="E94"/>
    <hyperlink r:id="rId192" ref="I94"/>
    <hyperlink r:id="rId193" ref="E95"/>
    <hyperlink r:id="rId194" ref="I95"/>
  </hyperlinks>
  <drawing r:id="rId195"/>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75.38"/>
    <col customWidth="1" min="7" max="7" width="28.25"/>
    <col customWidth="1" min="8" max="8" width="28.63"/>
    <col customWidth="1" min="9" max="9" width="37.25"/>
    <col customWidth="1" min="10" max="10" width="37.38"/>
  </cols>
  <sheetData>
    <row r="1">
      <c r="A1" s="1" t="str">
        <f>IFERROR(__xludf.DUMMYFUNCTION("importrange(""https://docs.google.com/spreadsheets/d/1Xmnfaad1ziolMt_Ftic3YdecEDC1oLlkkwCRo6002U0/edit#gid=981996125"",""CE-LP!A1:J150"")"),"TOP")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58" t="str">
        <f>IFERROR(__xludf.DUMMYFUNCTION("""COMPUTED_VALUE"""),"Top 10")</f>
        <v>Top 10</v>
      </c>
      <c r="B2" t="str">
        <f>IFERROR(__xludf.DUMMYFUNCTION("""COMPUTED_VALUE"""),"POPL")</f>
        <v>POPL</v>
      </c>
      <c r="C2" t="str">
        <f>IFERROR(__xludf.DUMMYFUNCTION("""COMPUTED_VALUE"""),"Symposium on Principles of Programming Languages")</f>
        <v>Symposium on Principles of Programming Languages</v>
      </c>
      <c r="D2">
        <f>IFERROR(__xludf.DUMMYFUNCTION("""COMPUTED_VALUE"""),45.0)</f>
        <v>45</v>
      </c>
      <c r="E2" s="59" t="str">
        <f>IFERROR(__xludf.DUMMYFUNCTION("""COMPUTED_VALUE"""),"https://scholar.google.com/citations?hl=en&amp;view_op=list_hcore&amp;venue=6CxxSCV0pL8J.2021")</f>
        <v>https://scholar.google.com/citations?hl=en&amp;view_op=list_hcore&amp;venue=6CxxSCV0pL8J.2021</v>
      </c>
      <c r="I2" s="60" t="str">
        <f>IFERROR(__xludf.DUMMYFUNCTION("""COMPUTED_VALUE"""),"https://dblp.uni-trier.de/db/conf/popl/index.html")</f>
        <v>https://dblp.uni-trier.de/db/conf/popl/index.html</v>
      </c>
    </row>
    <row r="3">
      <c r="A3" s="58" t="str">
        <f>IFERROR(__xludf.DUMMYFUNCTION("""COMPUTED_VALUE"""),"Top 10")</f>
        <v>Top 10</v>
      </c>
      <c r="B3" t="str">
        <f>IFERROR(__xludf.DUMMYFUNCTION("""COMPUTED_VALUE"""),"PLDI")</f>
        <v>PLDI</v>
      </c>
      <c r="C3" t="str">
        <f>IFERROR(__xludf.DUMMYFUNCTION("""COMPUTED_VALUE"""),"SIGPLAN Conference on Programming Language Design and Implementation")</f>
        <v>SIGPLAN Conference on Programming Language Design and Implementation</v>
      </c>
      <c r="D3">
        <f>IFERROR(__xludf.DUMMYFUNCTION("""COMPUTED_VALUE"""),51.0)</f>
        <v>51</v>
      </c>
      <c r="E3" s="59" t="str">
        <f>IFERROR(__xludf.DUMMYFUNCTION("""COMPUTED_VALUE"""),"https://scholar.google.com/citations?hl=en&amp;view_op=list_hcore&amp;venue=MJmsjXA6rLIJ.2024")</f>
        <v>https://scholar.google.com/citations?hl=en&amp;view_op=list_hcore&amp;venue=MJmsjXA6rLIJ.2024</v>
      </c>
      <c r="I3" s="60" t="str">
        <f>IFERROR(__xludf.DUMMYFUNCTION("""COMPUTED_VALUE"""),"https://dblp.uni-trier.de/db/conf/pldi/index.html")</f>
        <v>https://dblp.uni-trier.de/db/conf/pldi/index.html</v>
      </c>
    </row>
    <row r="4">
      <c r="A4" s="58" t="str">
        <f>IFERROR(__xludf.DUMMYFUNCTION("""COMPUTED_VALUE"""),"Top 10")</f>
        <v>Top 10</v>
      </c>
      <c r="B4" t="str">
        <f>IFERROR(__xludf.DUMMYFUNCTION("""COMPUTED_VALUE"""),"ECOOP")</f>
        <v>ECOOP</v>
      </c>
      <c r="C4" t="str">
        <f>IFERROR(__xludf.DUMMYFUNCTION("""COMPUTED_VALUE"""),"European Conference on Object-Oriented Programming")</f>
        <v>European Conference on Object-Oriented Programming</v>
      </c>
      <c r="D4">
        <f>IFERROR(__xludf.DUMMYFUNCTION("""COMPUTED_VALUE"""),19.0)</f>
        <v>19</v>
      </c>
      <c r="E4" s="59" t="str">
        <f>IFERROR(__xludf.DUMMYFUNCTION("""COMPUTED_VALUE"""),"https://scholar.google.com/citations?hl=en&amp;view_op=list_hcore&amp;venue=QHz4g2YxOYgJ.2024")</f>
        <v>https://scholar.google.com/citations?hl=en&amp;view_op=list_hcore&amp;venue=QHz4g2YxOYgJ.2024</v>
      </c>
      <c r="I4" s="60" t="str">
        <f>IFERROR(__xludf.DUMMYFUNCTION("""COMPUTED_VALUE"""),"https://dblp.uni-trier.de/db/conf/ecoop/index.html")</f>
        <v>https://dblp.uni-trier.de/db/conf/ecoop/index.html</v>
      </c>
    </row>
    <row r="5">
      <c r="A5" s="58" t="str">
        <f>IFERROR(__xludf.DUMMYFUNCTION("""COMPUTED_VALUE"""),"Top 10")</f>
        <v>Top 10</v>
      </c>
      <c r="B5" t="str">
        <f>IFERROR(__xludf.DUMMYFUNCTION("""COMPUTED_VALUE"""),"OOPSLA")</f>
        <v>OOPSLA</v>
      </c>
      <c r="C5" t="str">
        <f>IFERROR(__xludf.DUMMYFUNCTION("""COMPUTED_VALUE"""),"Conference on Object-Oriented Programming Systems, Languages, and Applications")</f>
        <v>Conference on Object-Oriented Programming Systems, Languages, and Applications</v>
      </c>
      <c r="D5">
        <f>IFERROR(__xludf.DUMMYFUNCTION("""COMPUTED_VALUE"""),29.0)</f>
        <v>29</v>
      </c>
      <c r="E5" s="59" t="str">
        <f>IFERROR(__xludf.DUMMYFUNCTION("""COMPUTED_VALUE"""),"https://scholar.google.com/citations?hl=en&amp;view_op=list_hcore&amp;venue=k7wjG1erdwwJ.2020")</f>
        <v>https://scholar.google.com/citations?hl=en&amp;view_op=list_hcore&amp;venue=k7wjG1erdwwJ.2020</v>
      </c>
      <c r="I5" s="60" t="str">
        <f>IFERROR(__xludf.DUMMYFUNCTION("""COMPUTED_VALUE"""),"https://dblp.uni-trier.de/db/conf/oopsla/index.html")</f>
        <v>https://dblp.uni-trier.de/db/conf/oopsla/index.html</v>
      </c>
    </row>
    <row r="6">
      <c r="A6" s="58" t="str">
        <f>IFERROR(__xludf.DUMMYFUNCTION("""COMPUTED_VALUE"""),"Top 10")</f>
        <v>Top 10</v>
      </c>
      <c r="B6" t="str">
        <f>IFERROR(__xludf.DUMMYFUNCTION("""COMPUTED_VALUE"""),"ICFP")</f>
        <v>ICFP</v>
      </c>
      <c r="C6" t="str">
        <f>IFERROR(__xludf.DUMMYFUNCTION("""COMPUTED_VALUE"""),"International Conference on Functional Programming")</f>
        <v>International Conference on Functional Programming</v>
      </c>
      <c r="D6">
        <f>IFERROR(__xludf.DUMMYFUNCTION("""COMPUTED_VALUE"""),27.0)</f>
        <v>27</v>
      </c>
      <c r="E6" s="59" t="str">
        <f>IFERROR(__xludf.DUMMYFUNCTION("""COMPUTED_VALUE"""),"https://scholar.google.com/citations?hl=en&amp;view_op=list_hcore&amp;venue=uAiqErfInCIJ.2019")</f>
        <v>https://scholar.google.com/citations?hl=en&amp;view_op=list_hcore&amp;venue=uAiqErfInCIJ.2019</v>
      </c>
      <c r="I6" s="60" t="str">
        <f>IFERROR(__xludf.DUMMYFUNCTION("""COMPUTED_VALUE"""),"https://dblp.uni-trier.de/db/conf/icfp/index.html")</f>
        <v>https://dblp.uni-trier.de/db/conf/icfp/index.html</v>
      </c>
    </row>
    <row r="7">
      <c r="A7" s="58" t="str">
        <f>IFERROR(__xludf.DUMMYFUNCTION("""COMPUTED_VALUE"""),"Top 10")</f>
        <v>Top 10</v>
      </c>
      <c r="B7" t="str">
        <f>IFERROR(__xludf.DUMMYFUNCTION("""COMPUTED_VALUE"""),"CGO")</f>
        <v>CGO</v>
      </c>
      <c r="C7" t="str">
        <f>IFERROR(__xludf.DUMMYFUNCTION("""COMPUTED_VALUE"""),"International Symposium on Code Generation and Optimization")</f>
        <v>International Symposium on Code Generation and Optimization</v>
      </c>
      <c r="D7">
        <f>IFERROR(__xludf.DUMMYFUNCTION("""COMPUTED_VALUE"""),25.0)</f>
        <v>25</v>
      </c>
      <c r="E7" s="59" t="str">
        <f>IFERROR(__xludf.DUMMYFUNCTION("""COMPUTED_VALUE"""),"https://scholar.google.com/citations?hl=en&amp;view_op=list_hcore&amp;venue=ol9-bwToVWEJ.2024")</f>
        <v>https://scholar.google.com/citations?hl=en&amp;view_op=list_hcore&amp;venue=ol9-bwToVWEJ.2024</v>
      </c>
      <c r="I7" s="60" t="str">
        <f>IFERROR(__xludf.DUMMYFUNCTION("""COMPUTED_VALUE"""),"https://dblp.uni-trier.de/db/conf/cgo/index.html")</f>
        <v>https://dblp.uni-trier.de/db/conf/cgo/index.html</v>
      </c>
    </row>
    <row r="8">
      <c r="A8" s="58" t="str">
        <f>IFERROR(__xludf.DUMMYFUNCTION("""COMPUTED_VALUE"""),"Top 10")</f>
        <v>Top 10</v>
      </c>
      <c r="B8" t="str">
        <f>IFERROR(__xludf.DUMMYFUNCTION("""COMPUTED_VALUE"""),"CC")</f>
        <v>CC</v>
      </c>
      <c r="C8" t="str">
        <f>IFERROR(__xludf.DUMMYFUNCTION("""COMPUTED_VALUE"""),"International Conference on Compiler Construction")</f>
        <v>International Conference on Compiler Construction</v>
      </c>
      <c r="D8">
        <f>IFERROR(__xludf.DUMMYFUNCTION("""COMPUTED_VALUE"""),13.0)</f>
        <v>13</v>
      </c>
      <c r="E8" s="59" t="str">
        <f>IFERROR(__xludf.DUMMYFUNCTION("""COMPUTED_VALUE"""),"https://scholar.google.com/scholar?as_q=&amp;as_epq=&amp;as_oq=&amp;as_eq=&amp;as_occt=any&amp;as_sauthors=&amp;as_publication=International+Conference+on+Compiler+Construction&amp;as_ylo=2020&amp;as_yhi=2024&amp;hl=pt-BR&amp;as_sdt=0%2C5")</f>
        <v>https://scholar.google.com/scholar?as_q=&amp;as_epq=&amp;as_oq=&amp;as_eq=&amp;as_occt=any&amp;as_sauthors=&amp;as_publication=International+Conference+on+Compiler+Construction&amp;as_ylo=2020&amp;as_yhi=2024&amp;hl=pt-BR&amp;as_sdt=0%2C5</v>
      </c>
      <c r="I8" s="60" t="str">
        <f>IFERROR(__xludf.DUMMYFUNCTION("""COMPUTED_VALUE"""),"https://dblp.uni-trier.de/db/conf/cc/index.html")</f>
        <v>https://dblp.uni-trier.de/db/conf/cc/index.html</v>
      </c>
    </row>
    <row r="9">
      <c r="A9" s="58" t="str">
        <f>IFERROR(__xludf.DUMMYFUNCTION("""COMPUTED_VALUE"""),"Top 10")</f>
        <v>Top 10</v>
      </c>
      <c r="B9" t="str">
        <f>IFERROR(__xludf.DUMMYFUNCTION("""COMPUTED_VALUE"""),"ESOP")</f>
        <v>ESOP</v>
      </c>
      <c r="C9" t="str">
        <f>IFERROR(__xludf.DUMMYFUNCTION("""COMPUTED_VALUE"""),"European Symposium on Programming")</f>
        <v>European Symposium on Programming</v>
      </c>
      <c r="D9">
        <f>IFERROR(__xludf.DUMMYFUNCTION("""COMPUTED_VALUE"""),23.0)</f>
        <v>23</v>
      </c>
      <c r="E9" s="59" t="str">
        <f>IFERROR(__xludf.DUMMYFUNCTION("""COMPUTED_VALUE"""),"https://scholar.google.com/citations?hl=en&amp;view_op=list_hcore&amp;venue=UtpXAOWmk9EJ.2024")</f>
        <v>https://scholar.google.com/citations?hl=en&amp;view_op=list_hcore&amp;venue=UtpXAOWmk9EJ.2024</v>
      </c>
      <c r="I9" s="60" t="str">
        <f>IFERROR(__xludf.DUMMYFUNCTION("""COMPUTED_VALUE"""),"https://dblp.uni-trier.de/db/conf/esop/index.html")</f>
        <v>https://dblp.uni-trier.de/db/conf/esop/index.html</v>
      </c>
    </row>
    <row r="10">
      <c r="A10" s="58" t="str">
        <f>IFERROR(__xludf.DUMMYFUNCTION("""COMPUTED_VALUE"""),"Top 10")</f>
        <v>Top 10</v>
      </c>
      <c r="B10" t="str">
        <f>IFERROR(__xludf.DUMMYFUNCTION("""COMPUTED_VALUE"""),"PPOPP")</f>
        <v>PPOPP</v>
      </c>
      <c r="C10" t="str">
        <f>IFERROR(__xludf.DUMMYFUNCTION("""COMPUTED_VALUE"""),"ACM SIGPLAN Symposium on Principles and Practice of Parallel Programming")</f>
        <v>ACM SIGPLAN Symposium on Principles and Practice of Parallel Programming</v>
      </c>
      <c r="D10">
        <f>IFERROR(__xludf.DUMMYFUNCTION("""COMPUTED_VALUE"""),33.0)</f>
        <v>33</v>
      </c>
      <c r="E10" s="59" t="str">
        <f>IFERROR(__xludf.DUMMYFUNCTION("""COMPUTED_VALUE"""),"https://scholar.google.com/citations?hl=en&amp;view_op=list_hcore&amp;venue=JDUQTRUV4EYJ.2024")</f>
        <v>https://scholar.google.com/citations?hl=en&amp;view_op=list_hcore&amp;venue=JDUQTRUV4EYJ.2024</v>
      </c>
      <c r="I10" s="60" t="str">
        <f>IFERROR(__xludf.DUMMYFUNCTION("""COMPUTED_VALUE"""),"https://dblp.uni-trier.de/db/conf/ppopp/index.html")</f>
        <v>https://dblp.uni-trier.de/db/conf/ppopp/index.html</v>
      </c>
    </row>
    <row r="11">
      <c r="A11" s="58" t="str">
        <f>IFERROR(__xludf.DUMMYFUNCTION("""COMPUTED_VALUE"""),"Top 10")</f>
        <v>Top 10</v>
      </c>
      <c r="B11" t="str">
        <f>IFERROR(__xludf.DUMMYFUNCTION("""COMPUTED_VALUE"""),"SBLP")</f>
        <v>SBLP</v>
      </c>
      <c r="C11" t="str">
        <f>IFERROR(__xludf.DUMMYFUNCTION("""COMPUTED_VALUE"""),"Brazilian Symposium on Programming Languages")</f>
        <v>Brazilian Symposium on Programming Languages</v>
      </c>
      <c r="D11">
        <f>IFERROR(__xludf.DUMMYFUNCTION("""COMPUTED_VALUE"""),6.0)</f>
        <v>6</v>
      </c>
      <c r="E11" s="59" t="str">
        <f>IFERROR(__xludf.DUMMYFUNCTION("""COMPUTED_VALUE"""),"https://scholar.google.com/scholar?as_q=&amp;as_epq=&amp;as_oq=&amp;as_eq=&amp;as_occt=any&amp;as_sauthors=&amp;as_publication=Brazilian+Symposium+on+Programming+Languages&amp;as_ylo=2020&amp;as_yhi=2024&amp;hl=pt-BR&amp;as_sdt=0%2C5")</f>
        <v>https://scholar.google.com/scholar?as_q=&amp;as_epq=&amp;as_oq=&amp;as_eq=&amp;as_occt=any&amp;as_sauthors=&amp;as_publication=Brazilian+Symposium+on+Programming+Languages&amp;as_ylo=2020&amp;as_yhi=2024&amp;hl=pt-BR&amp;as_sdt=0%2C5</v>
      </c>
      <c r="I11" s="60" t="str">
        <f>IFERROR(__xludf.DUMMYFUNCTION("""COMPUTED_VALUE"""),"https://dblp.uni-trier.de/db/conf/sblp/index.html")</f>
        <v>https://dblp.uni-trier.de/db/conf/sblp/index.html</v>
      </c>
    </row>
    <row r="12">
      <c r="A12" s="65" t="str">
        <f>IFERROR(__xludf.DUMMYFUNCTION("""COMPUTED_VALUE"""),"Top 20")</f>
        <v>Top 20</v>
      </c>
      <c r="B12" t="str">
        <f>IFERROR(__xludf.DUMMYFUNCTION("""COMPUTED_VALUE"""),"SLE")</f>
        <v>SLE</v>
      </c>
      <c r="C12" t="str">
        <f>IFERROR(__xludf.DUMMYFUNCTION("""COMPUTED_VALUE"""),"ACM SIGPLAN International Conference on Software Language Engineering")</f>
        <v>ACM SIGPLAN International Conference on Software Language Engineering</v>
      </c>
      <c r="D12">
        <f>IFERROR(__xludf.DUMMYFUNCTION("""COMPUTED_VALUE"""),12.0)</f>
        <v>12</v>
      </c>
      <c r="E12" s="59" t="str">
        <f>IFERROR(__xludf.DUMMYFUNCTION("""COMPUTED_VALUE"""),"https://scholar.google.com/citations?hl=en&amp;view_op=list_hcore&amp;venue=gvR2lhvj3awJ.2023")</f>
        <v>https://scholar.google.com/citations?hl=en&amp;view_op=list_hcore&amp;venue=gvR2lhvj3awJ.2023</v>
      </c>
      <c r="I12" s="60" t="str">
        <f>IFERROR(__xludf.DUMMYFUNCTION("""COMPUTED_VALUE"""),"https://dblp.uni-trier.de/db/conf/sle/index.html")</f>
        <v>https://dblp.uni-trier.de/db/conf/sle/index.html</v>
      </c>
    </row>
    <row r="13">
      <c r="A13" s="65" t="str">
        <f>IFERROR(__xludf.DUMMYFUNCTION("""COMPUTED_VALUE"""),"Top 20")</f>
        <v>Top 20</v>
      </c>
      <c r="B13" t="str">
        <f>IFERROR(__xludf.DUMMYFUNCTION("""COMPUTED_VALUE"""),"LCTES")</f>
        <v>LCTES</v>
      </c>
      <c r="C13" t="str">
        <f>IFERROR(__xludf.DUMMYFUNCTION("""COMPUTED_VALUE"""),"Languages, Compilers, and Tools for Embedded Systems")</f>
        <v>Languages, Compilers, and Tools for Embedded Systems</v>
      </c>
      <c r="D13">
        <f>IFERROR(__xludf.DUMMYFUNCTION("""COMPUTED_VALUE"""),9.0)</f>
        <v>9</v>
      </c>
      <c r="E13" s="59" t="str">
        <f>IFERROR(__xludf.DUMMYFUNCTION("""COMPUTED_VALUE"""),"https://scholar.google.com/scholar?as_q=&amp;as_epq=&amp;as_oq=&amp;as_eq=&amp;as_occt=any&amp;as_sauthors=&amp;as_publication=Languages%2C+Compilers%2C+and+Tools+for+Embedded+Systems&amp;as_ylo=2020&amp;as_yhi=2024&amp;hl=pt-BR&amp;as_sdt=0%2C5")</f>
        <v>https://scholar.google.com/scholar?as_q=&amp;as_epq=&amp;as_oq=&amp;as_eq=&amp;as_occt=any&amp;as_sauthors=&amp;as_publication=Languages%2C+Compilers%2C+and+Tools+for+Embedded+Systems&amp;as_ylo=2020&amp;as_yhi=2024&amp;hl=pt-BR&amp;as_sdt=0%2C5</v>
      </c>
      <c r="I13" s="60" t="str">
        <f>IFERROR(__xludf.DUMMYFUNCTION("""COMPUTED_VALUE"""),"https://dblp.uni-trier.de/db/conf/lctrts/index.html")</f>
        <v>https://dblp.uni-trier.de/db/conf/lctrts/index.html</v>
      </c>
    </row>
    <row r="14">
      <c r="A14" s="65" t="str">
        <f>IFERROR(__xludf.DUMMYFUNCTION("""COMPUTED_VALUE"""),"Top 20")</f>
        <v>Top 20</v>
      </c>
      <c r="B14" t="str">
        <f>IFERROR(__xludf.DUMMYFUNCTION("""COMPUTED_VALUE"""),"GPCE")</f>
        <v>GPCE</v>
      </c>
      <c r="C14" t="str">
        <f>IFERROR(__xludf.DUMMYFUNCTION("""COMPUTED_VALUE"""),"Generative Programming: Concepts and Experiences")</f>
        <v>Generative Programming: Concepts and Experiences</v>
      </c>
      <c r="D14">
        <f>IFERROR(__xludf.DUMMYFUNCTION("""COMPUTED_VALUE"""),10.0)</f>
        <v>10</v>
      </c>
      <c r="E14" s="59" t="str">
        <f>IFERROR(__xludf.DUMMYFUNCTION("""COMPUTED_VALUE"""),"https://scholar.google.com/scholar?as_q=&amp;as_epq=&amp;as_oq=&amp;as_eq=&amp;as_occt=any&amp;as_sauthors=&amp;as_publication=Generative+Programming%3A+Concepts+and+Experiences&amp;as_ylo=2020&amp;as_yhi=2024&amp;hl=pt-BR&amp;as_sdt=0%2C5")</f>
        <v>https://scholar.google.com/scholar?as_q=&amp;as_epq=&amp;as_oq=&amp;as_eq=&amp;as_occt=any&amp;as_sauthors=&amp;as_publication=Generative+Programming%3A+Concepts+and+Experiences&amp;as_ylo=2020&amp;as_yhi=2024&amp;hl=pt-BR&amp;as_sdt=0%2C5</v>
      </c>
      <c r="I14" s="60" t="str">
        <f>IFERROR(__xludf.DUMMYFUNCTION("""COMPUTED_VALUE"""),"https://dblp.uni-trier.de/db/conf/gpce/index.html")</f>
        <v>https://dblp.uni-trier.de/db/conf/gpce/index.html</v>
      </c>
    </row>
    <row r="15">
      <c r="A15" s="65" t="str">
        <f>IFERROR(__xludf.DUMMYFUNCTION("""COMPUTED_VALUE"""),"Top 20")</f>
        <v>Top 20</v>
      </c>
      <c r="B15" t="str">
        <f>IFERROR(__xludf.DUMMYFUNCTION("""COMPUTED_VALUE"""),"ISMM")</f>
        <v>ISMM</v>
      </c>
      <c r="C15" t="str">
        <f>IFERROR(__xludf.DUMMYFUNCTION("""COMPUTED_VALUE"""),"International Symposium on Memory Management")</f>
        <v>International Symposium on Memory Management</v>
      </c>
      <c r="D15">
        <f>IFERROR(__xludf.DUMMYFUNCTION("""COMPUTED_VALUE"""),13.0)</f>
        <v>13</v>
      </c>
      <c r="E15" s="59" t="str">
        <f>IFERROR(__xludf.DUMMYFUNCTION("""COMPUTED_VALUE"""),"https://scholar.google.com.br/citations?hl=en&amp;view_op=list_hcore&amp;venue=gOjRemocSxMJ.2020")</f>
        <v>https://scholar.google.com.br/citations?hl=en&amp;view_op=list_hcore&amp;venue=gOjRemocSxMJ.2020</v>
      </c>
      <c r="I15" s="60" t="str">
        <f>IFERROR(__xludf.DUMMYFUNCTION("""COMPUTED_VALUE"""),"https://dblp.uni-trier.de/db/conf/iwmm/index.html")</f>
        <v>https://dblp.uni-trier.de/db/conf/iwmm/index.html</v>
      </c>
    </row>
    <row r="16">
      <c r="A16" s="65" t="str">
        <f>IFERROR(__xludf.DUMMYFUNCTION("""COMPUTED_VALUE"""),"Top 20")</f>
        <v>Top 20</v>
      </c>
      <c r="B16" t="str">
        <f>IFERROR(__xludf.DUMMYFUNCTION("""COMPUTED_VALUE"""),"CPP")</f>
        <v>CPP</v>
      </c>
      <c r="C16" t="str">
        <f>IFERROR(__xludf.DUMMYFUNCTION("""COMPUTED_VALUE"""),"ACM Symposium on Certified Programs and Proofs")</f>
        <v>ACM Symposium on Certified Programs and Proofs</v>
      </c>
      <c r="D16">
        <f>IFERROR(__xludf.DUMMYFUNCTION("""COMPUTED_VALUE"""),20.0)</f>
        <v>20</v>
      </c>
      <c r="E16" s="59" t="str">
        <f>IFERROR(__xludf.DUMMYFUNCTION("""COMPUTED_VALUE"""),"https://scholar.google.com/citations?hl=en&amp;view_op=list_hcore&amp;venue=kLPk-HmRGuYJ.2024")</f>
        <v>https://scholar.google.com/citations?hl=en&amp;view_op=list_hcore&amp;venue=kLPk-HmRGuYJ.2024</v>
      </c>
      <c r="I16" s="60" t="str">
        <f>IFERROR(__xludf.DUMMYFUNCTION("""COMPUTED_VALUE"""),"https://dblp.uni-trier.de/db/conf/cpp/index.html")</f>
        <v>https://dblp.uni-trier.de/db/conf/cpp/index.html</v>
      </c>
    </row>
    <row r="17">
      <c r="A17" s="65" t="str">
        <f>IFERROR(__xludf.DUMMYFUNCTION("""COMPUTED_VALUE"""),"Top 20")</f>
        <v>Top 20</v>
      </c>
      <c r="B17" t="str">
        <f>IFERROR(__xludf.DUMMYFUNCTION("""COMPUTED_VALUE"""),"PPDP")</f>
        <v>PPDP</v>
      </c>
      <c r="C17" t="str">
        <f>IFERROR(__xludf.DUMMYFUNCTION("""COMPUTED_VALUE"""),"International  Symposium on Principles and Practice of Declarative Programming")</f>
        <v>International  Symposium on Principles and Practice of Declarative Programming</v>
      </c>
      <c r="D17">
        <f>IFERROR(__xludf.DUMMYFUNCTION("""COMPUTED_VALUE"""),10.0)</f>
        <v>10</v>
      </c>
      <c r="E17" s="59" t="str">
        <f>IFERROR(__xludf.DUMMYFUNCTION("""COMPUTED_VALUE"""),"https://scholar.google.com.br/citations?hl=en&amp;view_op=list_hcore&amp;venue=ktOuQEhO-mwJ.2022")</f>
        <v>https://scholar.google.com.br/citations?hl=en&amp;view_op=list_hcore&amp;venue=ktOuQEhO-mwJ.2022</v>
      </c>
      <c r="I17" s="60" t="str">
        <f>IFERROR(__xludf.DUMMYFUNCTION("""COMPUTED_VALUE"""),"https://dblp.uni-trier.de/db/conf/ppdp/index.html")</f>
        <v>https://dblp.uni-trier.de/db/conf/ppdp/index.html</v>
      </c>
    </row>
    <row r="18">
      <c r="A18" s="65" t="str">
        <f>IFERROR(__xludf.DUMMYFUNCTION("""COMPUTED_VALUE"""),"Top 20")</f>
        <v>Top 20</v>
      </c>
      <c r="B18" t="str">
        <f>IFERROR(__xludf.DUMMYFUNCTION("""COMPUTED_VALUE"""),"SAS")</f>
        <v>SAS</v>
      </c>
      <c r="C18" t="str">
        <f>IFERROR(__xludf.DUMMYFUNCTION("""COMPUTED_VALUE"""),"Static Analysis Symposium")</f>
        <v>Static Analysis Symposium</v>
      </c>
      <c r="D18">
        <f>IFERROR(__xludf.DUMMYFUNCTION("""COMPUTED_VALUE"""),14.0)</f>
        <v>14</v>
      </c>
      <c r="E18" s="59" t="str">
        <f>IFERROR(__xludf.DUMMYFUNCTION("""COMPUTED_VALUE"""),"https://scholar.google.com/citations?hl=en&amp;view_op=list_hcore&amp;venue=uB4PZkdP_ikJ.2024")</f>
        <v>https://scholar.google.com/citations?hl=en&amp;view_op=list_hcore&amp;venue=uB4PZkdP_ikJ.2024</v>
      </c>
      <c r="I18" s="60" t="str">
        <f>IFERROR(__xludf.DUMMYFUNCTION("""COMPUTED_VALUE"""),"https://dblp.uni-trier.de/db/conf/sas/index.html")</f>
        <v>https://dblp.uni-trier.de/db/conf/sas/index.html</v>
      </c>
    </row>
    <row r="19">
      <c r="A19" s="65" t="str">
        <f>IFERROR(__xludf.DUMMYFUNCTION("""COMPUTED_VALUE"""),"Top 20")</f>
        <v>Top 20</v>
      </c>
      <c r="B19" t="str">
        <f>IFERROR(__xludf.DUMMYFUNCTION("""COMPUTED_VALUE"""),"SCAM")</f>
        <v>SCAM</v>
      </c>
      <c r="C19" t="str">
        <f>IFERROR(__xludf.DUMMYFUNCTION("""COMPUTED_VALUE"""),"IEEE International Working Conference on Source Code Analysis and Manipulation")</f>
        <v>IEEE International Working Conference on Source Code Analysis and Manipulation</v>
      </c>
      <c r="D19">
        <f>IFERROR(__xludf.DUMMYFUNCTION("""COMPUTED_VALUE"""),15.0)</f>
        <v>15</v>
      </c>
      <c r="E19" s="59" t="str">
        <f>IFERROR(__xludf.DUMMYFUNCTION("""COMPUTED_VALUE"""),"https://scholar.google.com/citations?hl=en&amp;view_op=list_hcore&amp;venue=m0WHmETFb4sJ.2024")</f>
        <v>https://scholar.google.com/citations?hl=en&amp;view_op=list_hcore&amp;venue=m0WHmETFb4sJ.2024</v>
      </c>
      <c r="I19" s="60" t="str">
        <f>IFERROR(__xludf.DUMMYFUNCTION("""COMPUTED_VALUE"""),"https://dblp.uni-trier.de/db/conf/scam/index.html")</f>
        <v>https://dblp.uni-trier.de/db/conf/scam/index.html</v>
      </c>
    </row>
    <row r="20">
      <c r="A20" s="65" t="str">
        <f>IFERROR(__xludf.DUMMYFUNCTION("""COMPUTED_VALUE"""),"Top 20")</f>
        <v>Top 20</v>
      </c>
      <c r="B20" t="str">
        <f>IFERROR(__xludf.DUMMYFUNCTION("""COMPUTED_VALUE"""),"VEE")</f>
        <v>VEE</v>
      </c>
      <c r="C20" t="str">
        <f>IFERROR(__xludf.DUMMYFUNCTION("""COMPUTED_VALUE"""),"International Conference on Virtual Execution Environments")</f>
        <v>International Conference on Virtual Execution Environments</v>
      </c>
      <c r="D20">
        <f>IFERROR(__xludf.DUMMYFUNCTION("""COMPUTED_VALUE"""),12.0)</f>
        <v>12</v>
      </c>
      <c r="E20" s="59" t="str">
        <f>IFERROR(__xludf.DUMMYFUNCTION("""COMPUTED_VALUE"""),"https://scholar.google.com/scholar?as_q=&amp;as_epq=&amp;as_oq=&amp;as_eq=&amp;as_occt=any&amp;as_sauthors=&amp;as_publication=International+Conference+on+Virtual+Execution+Environments&amp;as_ylo=2020&amp;as_yhi=2024&amp;hl=pt-BR&amp;as_sdt=0%2C5")</f>
        <v>https://scholar.google.com/scholar?as_q=&amp;as_epq=&amp;as_oq=&amp;as_eq=&amp;as_occt=any&amp;as_sauthors=&amp;as_publication=International+Conference+on+Virtual+Execution+Environments&amp;as_ylo=2020&amp;as_yhi=2024&amp;hl=pt-BR&amp;as_sdt=0%2C5</v>
      </c>
      <c r="I20" s="60" t="str">
        <f>IFERROR(__xludf.DUMMYFUNCTION("""COMPUTED_VALUE"""),"https://dblp.uni-trier.de/db/conf/vee/index.html")</f>
        <v>https://dblp.uni-trier.de/db/conf/vee/index.html</v>
      </c>
    </row>
    <row r="21">
      <c r="A21" s="65" t="str">
        <f>IFERROR(__xludf.DUMMYFUNCTION("""COMPUTED_VALUE"""),"Top 20")</f>
        <v>Top 20</v>
      </c>
      <c r="B21" t="str">
        <f>IFERROR(__xludf.DUMMYFUNCTION("""COMPUTED_VALUE"""),"ASPLOS")</f>
        <v>ASPLOS</v>
      </c>
      <c r="C21" t="str">
        <f>IFERROR(__xludf.DUMMYFUNCTION("""COMPUTED_VALUE"""),"International Conference on Architectural Support for Programming Languages and Operating Systems")</f>
        <v>International Conference on Architectural Support for Programming Languages and Operating Systems</v>
      </c>
      <c r="D21">
        <f>IFERROR(__xludf.DUMMYFUNCTION("""COMPUTED_VALUE"""),71.0)</f>
        <v>71</v>
      </c>
      <c r="E21" s="59" t="str">
        <f>IFERROR(__xludf.DUMMYFUNCTION("""COMPUTED_VALUE"""),"https://scholar.google.com/citations?hl=en&amp;view_op=list_hcore&amp;venue=KlkFB9T8yJEJ.2024")</f>
        <v>https://scholar.google.com/citations?hl=en&amp;view_op=list_hcore&amp;venue=KlkFB9T8yJEJ.2024</v>
      </c>
      <c r="I21" s="60" t="str">
        <f>IFERROR(__xludf.DUMMYFUNCTION("""COMPUTED_VALUE"""),"https://dblp.uni-trier.de/db/conf/asplos/index.html")</f>
        <v>https://dblp.uni-trier.de/db/conf/asplos/index.html</v>
      </c>
    </row>
    <row r="22">
      <c r="A22" s="68" t="str">
        <f>IFERROR(__xludf.DUMMYFUNCTION("""COMPUTED_VALUE"""),"Eventos da Área")</f>
        <v>Eventos da Área</v>
      </c>
      <c r="B22" t="str">
        <f>IFERROR(__xludf.DUMMYFUNCTION("""COMPUTED_VALUE"""),"HS")</f>
        <v>HS</v>
      </c>
      <c r="C22" t="str">
        <f>IFERROR(__xludf.DUMMYFUNCTION("""COMPUTED_VALUE"""),"Haskell Symposium")</f>
        <v>Haskell Symposium</v>
      </c>
      <c r="D22">
        <f>IFERROR(__xludf.DUMMYFUNCTION("""COMPUTED_VALUE"""),7.0)</f>
        <v>7</v>
      </c>
      <c r="E22" s="59" t="str">
        <f>IFERROR(__xludf.DUMMYFUNCTION("""COMPUTED_VALUE"""),"https://scholar.google.com/scholar?as_q=&amp;as_epq=&amp;as_oq=&amp;as_eq=&amp;as_occt=any&amp;as_sauthors=&amp;as_publication=Haskell+Symposium&amp;as_ylo=2020&amp;as_yhi=2024&amp;hl=pt-BR&amp;as_sdt=0%2C5#d=gs_asd&amp;t=1730905083099")</f>
        <v>https://scholar.google.com/scholar?as_q=&amp;as_epq=&amp;as_oq=&amp;as_eq=&amp;as_occt=any&amp;as_sauthors=&amp;as_publication=Haskell+Symposium&amp;as_ylo=2020&amp;as_yhi=2024&amp;hl=pt-BR&amp;as_sdt=0%2C5#d=gs_asd&amp;t=1730905083099</v>
      </c>
      <c r="I22" s="60" t="str">
        <f>IFERROR(__xludf.DUMMYFUNCTION("""COMPUTED_VALUE"""),"https://dblp.uni-trier.de/db/conf/haskell/index.html")</f>
        <v>https://dblp.uni-trier.de/db/conf/haskell/index.html</v>
      </c>
    </row>
    <row r="23">
      <c r="A23" s="68" t="str">
        <f>IFERROR(__xludf.DUMMYFUNCTION("""COMPUTED_VALUE"""),"Eventos da Área")</f>
        <v>Eventos da Área</v>
      </c>
      <c r="B23" t="str">
        <f>IFERROR(__xludf.DUMMYFUNCTION("""COMPUTED_VALUE"""),"APLAS")</f>
        <v>APLAS</v>
      </c>
      <c r="C23" t="str">
        <f>IFERROR(__xludf.DUMMYFUNCTION("""COMPUTED_VALUE"""),"Asian Symposium on Programming Languages and Systems")</f>
        <v>Asian Symposium on Programming Languages and Systems</v>
      </c>
      <c r="D23">
        <f>IFERROR(__xludf.DUMMYFUNCTION("""COMPUTED_VALUE"""),13.0)</f>
        <v>13</v>
      </c>
      <c r="E23" s="59" t="str">
        <f>IFERROR(__xludf.DUMMYFUNCTION("""COMPUTED_VALUE"""),"https://scholar.google.com/citations?hl=en&amp;view_op=list_hcore&amp;venue=dHznF5bq130J.2022")</f>
        <v>https://scholar.google.com/citations?hl=en&amp;view_op=list_hcore&amp;venue=dHznF5bq130J.2022</v>
      </c>
      <c r="I23" s="60" t="str">
        <f>IFERROR(__xludf.DUMMYFUNCTION("""COMPUTED_VALUE"""),"https://dblp.uni-trier.de/db/conf/aplas/index.html")</f>
        <v>https://dblp.uni-trier.de/db/conf/aplas/index.html</v>
      </c>
    </row>
    <row r="24">
      <c r="A24" s="68" t="str">
        <f>IFERROR(__xludf.DUMMYFUNCTION("""COMPUTED_VALUE"""),"Eventos da Área")</f>
        <v>Eventos da Área</v>
      </c>
      <c r="B24" t="str">
        <f>IFERROR(__xludf.DUMMYFUNCTION("""COMPUTED_VALUE"""),"&lt;Programming&gt;")</f>
        <v>&lt;Programming&gt;</v>
      </c>
      <c r="C24" t="str">
        <f>IFERROR(__xludf.DUMMYFUNCTION("""COMPUTED_VALUE"""),"International Conference on the Art, Science, and Engineering of Programming")</f>
        <v>International Conference on the Art, Science, and Engineering of Programming</v>
      </c>
      <c r="D24">
        <f>IFERROR(__xludf.DUMMYFUNCTION("""COMPUTED_VALUE"""),8.0)</f>
        <v>8</v>
      </c>
      <c r="E24" s="59" t="str">
        <f>IFERROR(__xludf.DUMMYFUNCTION("""COMPUTED_VALUE"""),"https://scholar.google.com/scholar?as_q=&amp;as_epq=&amp;as_oq=&amp;as_eq=&amp;as_occt=any&amp;as_sauthors=&amp;as_publication=International+Conference+on+the+Art%2C+Science%2C+and+Engineering+of+Programming&amp;as_ylo=2020&amp;as_yhi=2024&amp;hl=pt-BR&amp;as_sdt=0%2C5")</f>
        <v>https://scholar.google.com/scholar?as_q=&amp;as_epq=&amp;as_oq=&amp;as_eq=&amp;as_occt=any&amp;as_sauthors=&amp;as_publication=International+Conference+on+the+Art%2C+Science%2C+and+Engineering+of+Programming&amp;as_ylo=2020&amp;as_yhi=2024&amp;hl=pt-BR&amp;as_sdt=0%2C5</v>
      </c>
      <c r="I24" s="60" t="str">
        <f>IFERROR(__xludf.DUMMYFUNCTION("""COMPUTED_VALUE"""),"https://dblp.uni-trier.de/db/conf/programming/index.html")</f>
        <v>https://dblp.uni-trier.de/db/conf/programming/index.html</v>
      </c>
    </row>
    <row r="25">
      <c r="A25" s="68" t="str">
        <f>IFERROR(__xludf.DUMMYFUNCTION("""COMPUTED_VALUE"""),"Eventos da Área")</f>
        <v>Eventos da Área</v>
      </c>
      <c r="B25" t="str">
        <f>IFERROR(__xludf.DUMMYFUNCTION("""COMPUTED_VALUE"""),"Onward!")</f>
        <v>Onward!</v>
      </c>
      <c r="C25" t="str">
        <f>IFERROR(__xludf.DUMMYFUNCTION("""COMPUTED_VALUE"""),"Onward!")</f>
        <v>Onward!</v>
      </c>
      <c r="D25">
        <f>IFERROR(__xludf.DUMMYFUNCTION("""COMPUTED_VALUE"""),10.0)</f>
        <v>10</v>
      </c>
      <c r="E25" s="59" t="str">
        <f>IFERROR(__xludf.DUMMYFUNCTION("""COMPUTED_VALUE"""),"https://scholar.google.com/scholar?as_q=&amp;as_epq=&amp;as_oq=&amp;as_eq=&amp;as_occt=any&amp;as_sauthors=&amp;as_publication=ACM+SIGPLAN+International+Symposium+on+New+Ideas%2C+New+Paradigms%2C+and+Reflections+on+Programming+and+Software&amp;as_ylo=2020&amp;as_yhi=2024&amp;hl=pt-BR&amp;as_sdt"&amp;"=0%2C5")</f>
        <v>https://scholar.google.com/scholar?as_q=&amp;as_epq=&amp;as_oq=&amp;as_eq=&amp;as_occt=any&amp;as_sauthors=&amp;as_publication=ACM+SIGPLAN+International+Symposium+on+New+Ideas%2C+New+Paradigms%2C+and+Reflections+on+Programming+and+Software&amp;as_ylo=2020&amp;as_yhi=2024&amp;hl=pt-BR&amp;as_sdt=0%2C5</v>
      </c>
      <c r="I25" s="60" t="str">
        <f>IFERROR(__xludf.DUMMYFUNCTION("""COMPUTED_VALUE"""),"https://dblp.uni-trier.de/db/conf/onward/index.html")</f>
        <v>https://dblp.uni-trier.de/db/conf/onward/index.html</v>
      </c>
    </row>
    <row r="26">
      <c r="A26" s="68" t="str">
        <f>IFERROR(__xludf.DUMMYFUNCTION("""COMPUTED_VALUE"""),"Eventos da Área")</f>
        <v>Eventos da Área</v>
      </c>
      <c r="B26" t="str">
        <f>IFERROR(__xludf.DUMMYFUNCTION("""COMPUTED_VALUE"""),"DLS")</f>
        <v>DLS</v>
      </c>
      <c r="C26" t="str">
        <f>IFERROR(__xludf.DUMMYFUNCTION("""COMPUTED_VALUE"""),"Dynamic Languages Symposium")</f>
        <v>Dynamic Languages Symposium</v>
      </c>
      <c r="D26">
        <f>IFERROR(__xludf.DUMMYFUNCTION("""COMPUTED_VALUE"""),6.0)</f>
        <v>6</v>
      </c>
      <c r="E26" s="59" t="str">
        <f>IFERROR(__xludf.DUMMYFUNCTION("""COMPUTED_VALUE"""),"https://scholar.google.com/scholar?start=0&amp;q=source:Dynamic+source:Languages+source:Symposium+source:on&amp;hl=pt-BR&amp;as_sdt=0,5&amp;as_ylo=2014&amp;as_yhi=2018")</f>
        <v>https://scholar.google.com/scholar?start=0&amp;q=source:Dynamic+source:Languages+source:Symposium+source:on&amp;hl=pt-BR&amp;as_sdt=0,5&amp;as_ylo=2014&amp;as_yhi=2018</v>
      </c>
      <c r="I26" s="60" t="str">
        <f>IFERROR(__xludf.DUMMYFUNCTION("""COMPUTED_VALUE"""),"https://dblp.uni-trier.de/db/conf/dls/index.html")</f>
        <v>https://dblp.uni-trier.de/db/conf/dls/index.html</v>
      </c>
    </row>
    <row r="27">
      <c r="A27" s="68" t="str">
        <f>IFERROR(__xludf.DUMMYFUNCTION("""COMPUTED_VALUE"""),"Eventos da Área")</f>
        <v>Eventos da Área</v>
      </c>
      <c r="B27" t="str">
        <f>IFERROR(__xludf.DUMMYFUNCTION("""COMPUTED_VALUE"""),"SCOPES")</f>
        <v>SCOPES</v>
      </c>
      <c r="C27" t="str">
        <f>IFERROR(__xludf.DUMMYFUNCTION("""COMPUTED_VALUE"""),"Software and Compilers for Embedded Systems")</f>
        <v>Software and Compilers for Embedded Systems</v>
      </c>
      <c r="D27">
        <f>IFERROR(__xludf.DUMMYFUNCTION("""COMPUTED_VALUE"""),11.0)</f>
        <v>11</v>
      </c>
      <c r="E27" s="59" t="str">
        <f>IFERROR(__xludf.DUMMYFUNCTION("""COMPUTED_VALUE"""),"https://scholar.google.com/scholar?as_q=&amp;as_epq=&amp;as_oq=&amp;as_eq=&amp;as_occt=any&amp;as_sauthors=&amp;as_publication=Dynamic+Languages+Symposium&amp;as_ylo=2020&amp;as_yhi=2024&amp;hl=pt-BR&amp;as_sdt=0%2C5")</f>
        <v>https://scholar.google.com/scholar?as_q=&amp;as_epq=&amp;as_oq=&amp;as_eq=&amp;as_occt=any&amp;as_sauthors=&amp;as_publication=Dynamic+Languages+Symposium&amp;as_ylo=2020&amp;as_yhi=2024&amp;hl=pt-BR&amp;as_sdt=0%2C5</v>
      </c>
      <c r="I27" s="60" t="str">
        <f>IFERROR(__xludf.DUMMYFUNCTION("""COMPUTED_VALUE"""),"https://dblp.uni-trier.de/db/conf/scopes/index.html")</f>
        <v>https://dblp.uni-trier.de/db/conf/scopes/index.html</v>
      </c>
    </row>
    <row r="28">
      <c r="A28" s="68" t="str">
        <f>IFERROR(__xludf.DUMMYFUNCTION("""COMPUTED_VALUE"""),"Eventos da Área")</f>
        <v>Eventos da Área</v>
      </c>
      <c r="B28" t="str">
        <f>IFERROR(__xludf.DUMMYFUNCTION("""COMPUTED_VALUE"""),"CASES")</f>
        <v>CASES</v>
      </c>
      <c r="C28" t="str">
        <f>IFERROR(__xludf.DUMMYFUNCTION("""COMPUTED_VALUE"""),"Conference on Compilers, Architectures and Synthesis for Embedded Systems")</f>
        <v>Conference on Compilers, Architectures and Synthesis for Embedded Systems</v>
      </c>
      <c r="D28">
        <f>IFERROR(__xludf.DUMMYFUNCTION("""COMPUTED_VALUE"""),4.0)</f>
        <v>4</v>
      </c>
      <c r="E28" s="59" t="str">
        <f>IFERROR(__xludf.DUMMYFUNCTION("""COMPUTED_VALUE"""),"https://scholar.google.com/scholar?as_q=&amp;as_epq=&amp;as_oq=&amp;as_eq=&amp;as_occt=any&amp;as_sauthors=&amp;as_publication=International+Conference+on+Compilers%2C+Architecture%2C+and+Synthesis+for+Embedded+Systems&amp;as_ylo=2020&amp;as_yhi=2024&amp;hl=pt-BR&amp;as_sdt=0%2C5")</f>
        <v>https://scholar.google.com/scholar?as_q=&amp;as_epq=&amp;as_oq=&amp;as_eq=&amp;as_occt=any&amp;as_sauthors=&amp;as_publication=International+Conference+on+Compilers%2C+Architecture%2C+and+Synthesis+for+Embedded+Systems&amp;as_ylo=2020&amp;as_yhi=2024&amp;hl=pt-BR&amp;as_sdt=0%2C5</v>
      </c>
      <c r="I28" s="60" t="str">
        <f>IFERROR(__xludf.DUMMYFUNCTION("""COMPUTED_VALUE"""),"https://dblp.uni-trier.de/db/conf/cases/index.html")</f>
        <v>https://dblp.uni-trier.de/db/conf/cases/index.html</v>
      </c>
    </row>
    <row r="29">
      <c r="A29" s="68" t="str">
        <f>IFERROR(__xludf.DUMMYFUNCTION("""COMPUTED_VALUE"""),"Eventos da Área")</f>
        <v>Eventos da Área</v>
      </c>
      <c r="B29" t="str">
        <f>IFERROR(__xludf.DUMMYFUNCTION("""COMPUTED_VALUE"""),"REBLS")</f>
        <v>REBLS</v>
      </c>
      <c r="C29" t="str">
        <f>IFERROR(__xludf.DUMMYFUNCTION("""COMPUTED_VALUE"""),"Workshop on Reactive and Event-Based Languages and Systems")</f>
        <v>Workshop on Reactive and Event-Based Languages and Systems</v>
      </c>
      <c r="D29">
        <f>IFERROR(__xludf.DUMMYFUNCTION("""COMPUTED_VALUE"""),5.0)</f>
        <v>5</v>
      </c>
      <c r="E29" s="59" t="str">
        <f>IFERROR(__xludf.DUMMYFUNCTION("""COMPUTED_VALUE"""),"https://scholar.google.com/scholar?as_q=&amp;as_epq=&amp;as_oq=&amp;as_eq=&amp;as_occt=any&amp;as_sauthors=&amp;as_publication=Workshop+on+Reactive+and+Event-Based+Languages+and+Systems&amp;as_ylo=2020&amp;as_yhi=2024&amp;hl=pt-BR&amp;as_sdt=0%2C5")</f>
        <v>https://scholar.google.com/scholar?as_q=&amp;as_epq=&amp;as_oq=&amp;as_eq=&amp;as_occt=any&amp;as_sauthors=&amp;as_publication=Workshop+on+Reactive+and+Event-Based+Languages+and+Systems&amp;as_ylo=2020&amp;as_yhi=2024&amp;hl=pt-BR&amp;as_sdt=0%2C5</v>
      </c>
      <c r="I29" s="60" t="str">
        <f>IFERROR(__xludf.DUMMYFUNCTION("""COMPUTED_VALUE"""),"https://dblp.uni-trier.de/db/conf/rebls/index.html")</f>
        <v>https://dblp.uni-trier.de/db/conf/rebls/index.html</v>
      </c>
    </row>
    <row r="30">
      <c r="A30" s="68" t="str">
        <f>IFERROR(__xludf.DUMMYFUNCTION("""COMPUTED_VALUE"""),"Eventos da Área")</f>
        <v>Eventos da Área</v>
      </c>
      <c r="B30" t="str">
        <f>IFERROR(__xludf.DUMMYFUNCTION("""COMPUTED_VALUE"""),"FDL")</f>
        <v>FDL</v>
      </c>
      <c r="C30" t="str">
        <f>IFERROR(__xludf.DUMMYFUNCTION("""COMPUTED_VALUE"""),"Forum on Specification and Design Languages")</f>
        <v>Forum on Specification and Design Languages</v>
      </c>
      <c r="D30">
        <f>IFERROR(__xludf.DUMMYFUNCTION("""COMPUTED_VALUE"""),4.0)</f>
        <v>4</v>
      </c>
      <c r="E30" s="59" t="str">
        <f>IFERROR(__xludf.DUMMYFUNCTION("""COMPUTED_VALUE"""),"https://scholar.google.com.br/scholar?start=30&amp;q=source:Forum+source:on+source:Specification+source:Design+source:Languages&amp;hl=en&amp;as_sdt=0,5&amp;as_ylo=2020&amp;as_yhi=2024")</f>
        <v>https://scholar.google.com.br/scholar?start=30&amp;q=source:Forum+source:on+source:Specification+source:Design+source:Languages&amp;hl=en&amp;as_sdt=0,5&amp;as_ylo=2020&amp;as_yhi=2024</v>
      </c>
      <c r="I30" s="60" t="str">
        <f>IFERROR(__xludf.DUMMYFUNCTION("""COMPUTED_VALUE"""),"https://dblp.uni-trier.de/db/conf/fdl/index.html")</f>
        <v>https://dblp.uni-trier.de/db/conf/fdl/index.html</v>
      </c>
    </row>
    <row r="31">
      <c r="A31" s="68" t="str">
        <f>IFERROR(__xludf.DUMMYFUNCTION("""COMPUTED_VALUE"""),"Eventos da Área")</f>
        <v>Eventos da Área</v>
      </c>
      <c r="B31" t="str">
        <f>IFERROR(__xludf.DUMMYFUNCTION("""COMPUTED_VALUE"""),"Wollic")</f>
        <v>Wollic</v>
      </c>
      <c r="C31" t="str">
        <f>IFERROR(__xludf.DUMMYFUNCTION("""COMPUTED_VALUE"""),"Workshop on Logic, Language, Information and Computation ")</f>
        <v>Workshop on Logic, Language, Information and Computation </v>
      </c>
      <c r="D31">
        <f>IFERROR(__xludf.DUMMYFUNCTION("""COMPUTED_VALUE"""),12.0)</f>
        <v>12</v>
      </c>
      <c r="E31" s="59" t="str">
        <f>IFERROR(__xludf.DUMMYFUNCTION("""COMPUTED_VALUE"""),"https://scholar.google.com/citations?hl=en&amp;view_op=list_hcore&amp;venue=-_yucm7AqqAJ.2024")</f>
        <v>https://scholar.google.com/citations?hl=en&amp;view_op=list_hcore&amp;venue=-_yucm7AqqAJ.2024</v>
      </c>
      <c r="I31" s="60" t="str">
        <f>IFERROR(__xludf.DUMMYFUNCTION("""COMPUTED_VALUE"""),"https://dblp.uni-trier.de/db/conf/wollic/index.html")</f>
        <v>https://dblp.uni-trier.de/db/conf/wollic/index.html</v>
      </c>
    </row>
    <row r="32">
      <c r="A32" s="68" t="str">
        <f>IFERROR(__xludf.DUMMYFUNCTION("""COMPUTED_VALUE"""),"Eventos da Área")</f>
        <v>Eventos da Área</v>
      </c>
      <c r="E32" s="59"/>
    </row>
    <row r="33">
      <c r="A33" s="68" t="str">
        <f>IFERROR(__xludf.DUMMYFUNCTION("""COMPUTED_VALUE"""),"Eventos da Área")</f>
        <v>Eventos da Área</v>
      </c>
    </row>
    <row r="34">
      <c r="A34" s="68" t="str">
        <f>IFERROR(__xludf.DUMMYFUNCTION("""COMPUTED_VALUE"""),"Eventos da Área")</f>
        <v>Eventos da Área</v>
      </c>
    </row>
    <row r="35">
      <c r="A35" s="68" t="str">
        <f>IFERROR(__xludf.DUMMYFUNCTION("""COMPUTED_VALUE"""),"Eventos da Área")</f>
        <v>Eventos da Área</v>
      </c>
    </row>
    <row r="36">
      <c r="A36" s="68" t="str">
        <f>IFERROR(__xludf.DUMMYFUNCTION("""COMPUTED_VALUE"""),"Eventos da Área")</f>
        <v>Eventos da Área</v>
      </c>
    </row>
    <row r="37">
      <c r="A37" s="68" t="str">
        <f>IFERROR(__xludf.DUMMYFUNCTION("""COMPUTED_VALUE"""),"Eventos da Área")</f>
        <v>Eventos da Área</v>
      </c>
    </row>
    <row r="38">
      <c r="A38" s="68" t="str">
        <f>IFERROR(__xludf.DUMMYFUNCTION("""COMPUTED_VALUE"""),"Eventos da Área")</f>
        <v>Eventos da Área</v>
      </c>
    </row>
    <row r="39">
      <c r="A39" s="68" t="str">
        <f>IFERROR(__xludf.DUMMYFUNCTION("""COMPUTED_VALUE"""),"Eventos da Área")</f>
        <v>Eventos da Área</v>
      </c>
    </row>
    <row r="40">
      <c r="A40" s="68" t="str">
        <f>IFERROR(__xludf.DUMMYFUNCTION("""COMPUTED_VALUE"""),"Eventos da Área")</f>
        <v>Eventos da Área</v>
      </c>
    </row>
    <row r="41">
      <c r="A41" s="68" t="str">
        <f>IFERROR(__xludf.DUMMYFUNCTION("""COMPUTED_VALUE"""),"Eventos da Área")</f>
        <v>Eventos da Área</v>
      </c>
    </row>
    <row r="42">
      <c r="A42" s="68" t="str">
        <f>IFERROR(__xludf.DUMMYFUNCTION("""COMPUTED_VALUE"""),"Eventos da Área")</f>
        <v>Eventos da Área</v>
      </c>
    </row>
    <row r="43">
      <c r="A43" s="68" t="str">
        <f>IFERROR(__xludf.DUMMYFUNCTION("""COMPUTED_VALUE"""),"Eventos da Área")</f>
        <v>Eventos da Área</v>
      </c>
    </row>
    <row r="44">
      <c r="A44" s="68" t="str">
        <f>IFERROR(__xludf.DUMMYFUNCTION("""COMPUTED_VALUE"""),"Eventos da Área")</f>
        <v>Eventos da Área</v>
      </c>
    </row>
    <row r="45">
      <c r="A45" s="68" t="str">
        <f>IFERROR(__xludf.DUMMYFUNCTION("""COMPUTED_VALUE"""),"Eventos da Área")</f>
        <v>Eventos da Área</v>
      </c>
    </row>
    <row r="46">
      <c r="A46" s="68" t="str">
        <f>IFERROR(__xludf.DUMMYFUNCTION("""COMPUTED_VALUE"""),"Eventos da Área")</f>
        <v>Eventos da Área</v>
      </c>
    </row>
    <row r="47">
      <c r="A47" s="68" t="str">
        <f>IFERROR(__xludf.DUMMYFUNCTION("""COMPUTED_VALUE"""),"Eventos da Área")</f>
        <v>Eventos da Área</v>
      </c>
    </row>
    <row r="48">
      <c r="A48" s="68" t="str">
        <f>IFERROR(__xludf.DUMMYFUNCTION("""COMPUTED_VALUE"""),"Eventos da Área")</f>
        <v>Eventos da Área</v>
      </c>
    </row>
    <row r="49">
      <c r="A49" s="68" t="str">
        <f>IFERROR(__xludf.DUMMYFUNCTION("""COMPUTED_VALUE"""),"Eventos da Área")</f>
        <v>Eventos da Área</v>
      </c>
    </row>
    <row r="50">
      <c r="A50" s="68" t="str">
        <f>IFERROR(__xludf.DUMMYFUNCTION("""COMPUTED_VALUE"""),"Eventos da Área")</f>
        <v>Eventos da Área</v>
      </c>
    </row>
    <row r="51">
      <c r="A51" s="68" t="str">
        <f>IFERROR(__xludf.DUMMYFUNCTION("""COMPUTED_VALUE"""),"Eventos da Área")</f>
        <v>Eventos da Área</v>
      </c>
    </row>
    <row r="52">
      <c r="A52" s="68" t="str">
        <f>IFERROR(__xludf.DUMMYFUNCTION("""COMPUTED_VALUE"""),"Eventos da Área")</f>
        <v>Eventos da Área</v>
      </c>
    </row>
    <row r="53">
      <c r="A53" s="68" t="str">
        <f>IFERROR(__xludf.DUMMYFUNCTION("""COMPUTED_VALUE"""),"Eventos da Área")</f>
        <v>Eventos da Área</v>
      </c>
    </row>
    <row r="54">
      <c r="A54" s="68" t="str">
        <f>IFERROR(__xludf.DUMMYFUNCTION("""COMPUTED_VALUE"""),"Eventos da Área")</f>
        <v>Eventos da Área</v>
      </c>
    </row>
    <row r="55">
      <c r="A55" s="68" t="str">
        <f>IFERROR(__xludf.DUMMYFUNCTION("""COMPUTED_VALUE"""),"Eventos da Área")</f>
        <v>Eventos da Área</v>
      </c>
    </row>
    <row r="56">
      <c r="A56" s="68" t="str">
        <f>IFERROR(__xludf.DUMMYFUNCTION("""COMPUTED_VALUE"""),"Eventos da Área")</f>
        <v>Eventos da Área</v>
      </c>
    </row>
    <row r="57">
      <c r="A57" s="68" t="str">
        <f>IFERROR(__xludf.DUMMYFUNCTION("""COMPUTED_VALUE"""),"Eventos da Área")</f>
        <v>Eventos da Área</v>
      </c>
    </row>
    <row r="58">
      <c r="A58" s="68" t="str">
        <f>IFERROR(__xludf.DUMMYFUNCTION("""COMPUTED_VALUE"""),"Eventos da Área")</f>
        <v>Eventos da Área</v>
      </c>
    </row>
    <row r="59">
      <c r="A59" s="68" t="str">
        <f>IFERROR(__xludf.DUMMYFUNCTION("""COMPUTED_VALUE"""),"Eventos da Área")</f>
        <v>Eventos da Área</v>
      </c>
    </row>
    <row r="60">
      <c r="A60" s="68" t="str">
        <f>IFERROR(__xludf.DUMMYFUNCTION("""COMPUTED_VALUE"""),"Eventos da Área")</f>
        <v>Eventos da Área</v>
      </c>
    </row>
    <row r="61">
      <c r="A61" s="68" t="str">
        <f>IFERROR(__xludf.DUMMYFUNCTION("""COMPUTED_VALUE"""),"Eventos da Área")</f>
        <v>Eventos da Área</v>
      </c>
    </row>
    <row r="62">
      <c r="A62" s="68" t="str">
        <f>IFERROR(__xludf.DUMMYFUNCTION("""COMPUTED_VALUE"""),"Eventos da Área")</f>
        <v>Eventos da Área</v>
      </c>
    </row>
    <row r="63">
      <c r="A63" s="68" t="str">
        <f>IFERROR(__xludf.DUMMYFUNCTION("""COMPUTED_VALUE"""),"Eventos da Área")</f>
        <v>Eventos da Área</v>
      </c>
    </row>
    <row r="64">
      <c r="A64" s="68" t="str">
        <f>IFERROR(__xludf.DUMMYFUNCTION("""COMPUTED_VALUE"""),"Eventos da Área")</f>
        <v>Eventos da Área</v>
      </c>
    </row>
    <row r="65">
      <c r="A65" s="68" t="str">
        <f>IFERROR(__xludf.DUMMYFUNCTION("""COMPUTED_VALUE"""),"Eventos da Área")</f>
        <v>Eventos da Área</v>
      </c>
    </row>
    <row r="66">
      <c r="A66" s="68" t="str">
        <f>IFERROR(__xludf.DUMMYFUNCTION("""COMPUTED_VALUE"""),"Eventos da Área")</f>
        <v>Eventos da Área</v>
      </c>
    </row>
    <row r="67">
      <c r="A67" s="68" t="str">
        <f>IFERROR(__xludf.DUMMYFUNCTION("""COMPUTED_VALUE"""),"Eventos da Área")</f>
        <v>Eventos da Área</v>
      </c>
    </row>
    <row r="68">
      <c r="A68" s="68" t="str">
        <f>IFERROR(__xludf.DUMMYFUNCTION("""COMPUTED_VALUE"""),"Eventos da Área")</f>
        <v>Eventos da Área</v>
      </c>
    </row>
    <row r="69">
      <c r="A69" s="68" t="str">
        <f>IFERROR(__xludf.DUMMYFUNCTION("""COMPUTED_VALUE"""),"Eventos da Área")</f>
        <v>Eventos da Área</v>
      </c>
    </row>
    <row r="70">
      <c r="A70" s="68" t="str">
        <f>IFERROR(__xludf.DUMMYFUNCTION("""COMPUTED_VALUE"""),"Eventos da Área")</f>
        <v>Eventos da Área</v>
      </c>
    </row>
    <row r="71">
      <c r="A71" s="68" t="str">
        <f>IFERROR(__xludf.DUMMYFUNCTION("""COMPUTED_VALUE"""),"Eventos da Área")</f>
        <v>Eventos da Área</v>
      </c>
    </row>
    <row r="72">
      <c r="A72" s="68" t="str">
        <f>IFERROR(__xludf.DUMMYFUNCTION("""COMPUTED_VALUE"""),"Eventos da Área")</f>
        <v>Eventos da Área</v>
      </c>
    </row>
    <row r="73">
      <c r="A73" s="68" t="str">
        <f>IFERROR(__xludf.DUMMYFUNCTION("""COMPUTED_VALUE"""),"Eventos da Área")</f>
        <v>Eventos da Área</v>
      </c>
    </row>
    <row r="74">
      <c r="A74" s="68" t="str">
        <f>IFERROR(__xludf.DUMMYFUNCTION("""COMPUTED_VALUE"""),"Eventos da Área")</f>
        <v>Eventos da Área</v>
      </c>
    </row>
    <row r="75">
      <c r="A75" s="68" t="str">
        <f>IFERROR(__xludf.DUMMYFUNCTION("""COMPUTED_VALUE"""),"Eventos da Área")</f>
        <v>Eventos da Área</v>
      </c>
    </row>
    <row r="76">
      <c r="A76" s="68" t="str">
        <f>IFERROR(__xludf.DUMMYFUNCTION("""COMPUTED_VALUE"""),"Eventos da Área")</f>
        <v>Eventos da Área</v>
      </c>
    </row>
    <row r="77">
      <c r="A77" s="68" t="str">
        <f>IFERROR(__xludf.DUMMYFUNCTION("""COMPUTED_VALUE"""),"Eventos da Área")</f>
        <v>Eventos da Área</v>
      </c>
    </row>
    <row r="78">
      <c r="A78" s="68" t="str">
        <f>IFERROR(__xludf.DUMMYFUNCTION("""COMPUTED_VALUE"""),"Eventos da Área")</f>
        <v>Eventos da Área</v>
      </c>
    </row>
    <row r="79">
      <c r="A79" s="68" t="str">
        <f>IFERROR(__xludf.DUMMYFUNCTION("""COMPUTED_VALUE"""),"Eventos da Área")</f>
        <v>Eventos da Área</v>
      </c>
    </row>
    <row r="80">
      <c r="A80" s="68" t="str">
        <f>IFERROR(__xludf.DUMMYFUNCTION("""COMPUTED_VALUE"""),"Eventos da Área")</f>
        <v>Eventos da Área</v>
      </c>
    </row>
    <row r="81">
      <c r="A81" s="68" t="str">
        <f>IFERROR(__xludf.DUMMYFUNCTION("""COMPUTED_VALUE"""),"Eventos da Área")</f>
        <v>Eventos da Área</v>
      </c>
    </row>
    <row r="82">
      <c r="A82" s="68" t="str">
        <f>IFERROR(__xludf.DUMMYFUNCTION("""COMPUTED_VALUE"""),"Eventos da Área")</f>
        <v>Eventos da Área</v>
      </c>
    </row>
    <row r="83">
      <c r="A83" s="68" t="str">
        <f>IFERROR(__xludf.DUMMYFUNCTION("""COMPUTED_VALUE"""),"Eventos da Área")</f>
        <v>Eventos da Área</v>
      </c>
    </row>
    <row r="84">
      <c r="A84" s="68" t="str">
        <f>IFERROR(__xludf.DUMMYFUNCTION("""COMPUTED_VALUE"""),"Eventos da Área")</f>
        <v>Eventos da Área</v>
      </c>
    </row>
    <row r="85">
      <c r="A85" s="68" t="str">
        <f>IFERROR(__xludf.DUMMYFUNCTION("""COMPUTED_VALUE"""),"Eventos da Área")</f>
        <v>Eventos da Área</v>
      </c>
    </row>
    <row r="86">
      <c r="A86" s="68" t="str">
        <f>IFERROR(__xludf.DUMMYFUNCTION("""COMPUTED_VALUE"""),"Eventos da Área")</f>
        <v>Eventos da Área</v>
      </c>
    </row>
    <row r="87">
      <c r="A87" s="68" t="str">
        <f>IFERROR(__xludf.DUMMYFUNCTION("""COMPUTED_VALUE"""),"Eventos da Área")</f>
        <v>Eventos da Área</v>
      </c>
    </row>
    <row r="88">
      <c r="A88" s="68" t="str">
        <f>IFERROR(__xludf.DUMMYFUNCTION("""COMPUTED_VALUE"""),"Eventos da Área")</f>
        <v>Eventos da Área</v>
      </c>
    </row>
    <row r="89">
      <c r="A89" s="68" t="str">
        <f>IFERROR(__xludf.DUMMYFUNCTION("""COMPUTED_VALUE"""),"Eventos da Área")</f>
        <v>Eventos da Área</v>
      </c>
    </row>
    <row r="90">
      <c r="A90" s="68" t="str">
        <f>IFERROR(__xludf.DUMMYFUNCTION("""COMPUTED_VALUE"""),"Eventos da Área")</f>
        <v>Eventos da Área</v>
      </c>
    </row>
    <row r="91">
      <c r="A91" s="68" t="str">
        <f>IFERROR(__xludf.DUMMYFUNCTION("""COMPUTED_VALUE"""),"Eventos da Área")</f>
        <v>Eventos da Área</v>
      </c>
    </row>
    <row r="92">
      <c r="A92" s="68" t="str">
        <f>IFERROR(__xludf.DUMMYFUNCTION("""COMPUTED_VALUE"""),"Eventos da Área")</f>
        <v>Eventos da Área</v>
      </c>
    </row>
    <row r="93">
      <c r="A93" s="68" t="str">
        <f>IFERROR(__xludf.DUMMYFUNCTION("""COMPUTED_VALUE"""),"Eventos da Área")</f>
        <v>Eventos da Área</v>
      </c>
    </row>
    <row r="94">
      <c r="A94" s="68" t="str">
        <f>IFERROR(__xludf.DUMMYFUNCTION("""COMPUTED_VALUE"""),"Eventos da Área")</f>
        <v>Eventos da Área</v>
      </c>
    </row>
    <row r="95">
      <c r="A95" s="68" t="str">
        <f>IFERROR(__xludf.DUMMYFUNCTION("""COMPUTED_VALUE"""),"Eventos da Área")</f>
        <v>Eventos da Área</v>
      </c>
    </row>
    <row r="96">
      <c r="A96" s="68" t="str">
        <f>IFERROR(__xludf.DUMMYFUNCTION("""COMPUTED_VALUE"""),"Eventos da Área")</f>
        <v>Eventos da Área</v>
      </c>
    </row>
    <row r="97">
      <c r="A97" s="68" t="str">
        <f>IFERROR(__xludf.DUMMYFUNCTION("""COMPUTED_VALUE"""),"Eventos da Área")</f>
        <v>Eventos da Área</v>
      </c>
    </row>
    <row r="98">
      <c r="A98" s="68" t="str">
        <f>IFERROR(__xludf.DUMMYFUNCTION("""COMPUTED_VALUE"""),"Eventos da Área")</f>
        <v>Eventos da Área</v>
      </c>
    </row>
    <row r="99">
      <c r="A99" s="68" t="str">
        <f>IFERROR(__xludf.DUMMYFUNCTION("""COMPUTED_VALUE"""),"Eventos da Área")</f>
        <v>Eventos da Área</v>
      </c>
    </row>
    <row r="100">
      <c r="A100" s="68" t="str">
        <f>IFERROR(__xludf.DUMMYFUNCTION("""COMPUTED_VALUE"""),"Eventos da Área")</f>
        <v>Eventos da Área</v>
      </c>
    </row>
    <row r="101">
      <c r="A101" s="68" t="str">
        <f>IFERROR(__xludf.DUMMYFUNCTION("""COMPUTED_VALUE"""),"Eventos da Área")</f>
        <v>Eventos da Área</v>
      </c>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E10"/>
    <hyperlink r:id="rId18" ref="I10"/>
    <hyperlink r:id="rId19" ref="E11"/>
    <hyperlink r:id="rId20" ref="I11"/>
    <hyperlink r:id="rId21" ref="E12"/>
    <hyperlink r:id="rId22" ref="I12"/>
    <hyperlink r:id="rId23" ref="E13"/>
    <hyperlink r:id="rId24" ref="I13"/>
    <hyperlink r:id="rId25" ref="E14"/>
    <hyperlink r:id="rId26" ref="I14"/>
    <hyperlink r:id="rId27" ref="E15"/>
    <hyperlink r:id="rId28" ref="I15"/>
    <hyperlink r:id="rId29" ref="E16"/>
    <hyperlink r:id="rId30" ref="I16"/>
    <hyperlink r:id="rId31" ref="E17"/>
    <hyperlink r:id="rId32" ref="I17"/>
    <hyperlink r:id="rId33" ref="E18"/>
    <hyperlink r:id="rId34" ref="I18"/>
    <hyperlink r:id="rId35" ref="E19"/>
    <hyperlink r:id="rId36" ref="I19"/>
    <hyperlink r:id="rId37" ref="E20"/>
    <hyperlink r:id="rId38" ref="I20"/>
    <hyperlink r:id="rId39" ref="E21"/>
    <hyperlink r:id="rId40" ref="I21"/>
    <hyperlink r:id="rId41" location="d=gs_asd&amp;t=1730905083099" ref="E22"/>
    <hyperlink r:id="rId42" ref="I22"/>
    <hyperlink r:id="rId43" ref="E23"/>
    <hyperlink r:id="rId44" ref="I23"/>
    <hyperlink r:id="rId45" ref="E24"/>
    <hyperlink r:id="rId46" ref="I24"/>
    <hyperlink r:id="rId47" ref="E25"/>
    <hyperlink r:id="rId48" ref="I25"/>
    <hyperlink r:id="rId49" ref="E26"/>
    <hyperlink r:id="rId50" ref="I26"/>
    <hyperlink r:id="rId51" ref="E27"/>
    <hyperlink r:id="rId52" ref="I27"/>
    <hyperlink r:id="rId53" ref="E28"/>
    <hyperlink r:id="rId54" ref="I28"/>
    <hyperlink r:id="rId55" ref="E29"/>
    <hyperlink r:id="rId56" ref="I29"/>
    <hyperlink r:id="rId57" ref="E30"/>
    <hyperlink r:id="rId58" ref="I30"/>
    <hyperlink r:id="rId59" ref="E31"/>
    <hyperlink r:id="rId60" ref="I31"/>
  </hyperlinks>
  <drawing r:id="rId6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38.13"/>
    <col customWidth="1" min="6" max="6" width="11.13"/>
    <col customWidth="1" min="7" max="7" width="29.75"/>
    <col customWidth="1" min="8" max="8" width="28.75"/>
    <col customWidth="1" min="9" max="9" width="26.75"/>
    <col customWidth="1" min="10" max="10" width="28.88"/>
  </cols>
  <sheetData>
    <row r="1">
      <c r="A1" s="1" t="str">
        <f>IFERROR(__xludf.DUMMYFUNCTION("importrange(""https://docs.google.com/spreadsheets/d/11a29ScXGzpdP6ZouRlX_RWF8OSj4CbHaGWV79xjDSeg/edit#gid=174282740"",""CE-MF!A1:J150"")"),"TOP")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58" t="str">
        <f>IFERROR(__xludf.DUMMYFUNCTION("""COMPUTED_VALUE"""),"Top 10")</f>
        <v>Top 10</v>
      </c>
      <c r="B2" s="57" t="str">
        <f>IFERROR(__xludf.DUMMYFUNCTION("""COMPUTED_VALUE"""),"FM")</f>
        <v>FM</v>
      </c>
      <c r="C2" s="142" t="str">
        <f>IFERROR(__xludf.DUMMYFUNCTION("""COMPUTED_VALUE"""),"Formal Methods")</f>
        <v>Formal Methods</v>
      </c>
      <c r="D2" s="136">
        <f>IFERROR(__xludf.DUMMYFUNCTION("""COMPUTED_VALUE"""),19.0)</f>
        <v>19</v>
      </c>
      <c r="E2" s="59" t="str">
        <f>IFERROR(__xludf.DUMMYFUNCTION("""COMPUTED_VALUE"""),"https://scholar.google.com.br/citations?hl=en&amp;view_op=list_hcore&amp;venue=mvAUTVUvOS0J.2019")</f>
        <v>https://scholar.google.com.br/citations?hl=en&amp;view_op=list_hcore&amp;venue=mvAUTVUvOS0J.2019</v>
      </c>
      <c r="F2" s="142"/>
    </row>
    <row r="3">
      <c r="A3" s="58" t="str">
        <f>IFERROR(__xludf.DUMMYFUNCTION("""COMPUTED_VALUE"""),"Top 10")</f>
        <v>Top 10</v>
      </c>
      <c r="B3" s="57" t="str">
        <f>IFERROR(__xludf.DUMMYFUNCTION("""COMPUTED_VALUE"""),"TACAS")</f>
        <v>TACAS</v>
      </c>
      <c r="C3" s="143" t="str">
        <f>IFERROR(__xludf.DUMMYFUNCTION("""COMPUTED_VALUE"""),"International Conference on Tools and Algorithms for the Construction and Analysis of Systems")</f>
        <v>International Conference on Tools and Algorithms for the Construction and Analysis of Systems</v>
      </c>
      <c r="D3" s="136">
        <f>IFERROR(__xludf.DUMMYFUNCTION("""COMPUTED_VALUE"""),36.0)</f>
        <v>36</v>
      </c>
      <c r="E3" s="59" t="str">
        <f>IFERROR(__xludf.DUMMYFUNCTION("""COMPUTED_VALUE"""),"https://scholar.google.com.br/citations?hl=en&amp;view_op=list_hcore&amp;venue=_zC9HnSttFIJ.2019")</f>
        <v>https://scholar.google.com.br/citations?hl=en&amp;view_op=list_hcore&amp;venue=_zC9HnSttFIJ.2019</v>
      </c>
      <c r="F3" s="142"/>
    </row>
    <row r="4">
      <c r="A4" s="58" t="str">
        <f>IFERROR(__xludf.DUMMYFUNCTION("""COMPUTED_VALUE"""),"Top 10")</f>
        <v>Top 10</v>
      </c>
      <c r="B4" s="57" t="str">
        <f>IFERROR(__xludf.DUMMYFUNCTION("""COMPUTED_VALUE"""),"FASE")</f>
        <v>FASE</v>
      </c>
      <c r="C4" s="142" t="str">
        <f>IFERROR(__xludf.DUMMYFUNCTION("""COMPUTED_VALUE"""),"Fundamental Approaches to Software Engineering")</f>
        <v>Fundamental Approaches to Software Engineering</v>
      </c>
      <c r="D4" s="136">
        <f>IFERROR(__xludf.DUMMYFUNCTION("""COMPUTED_VALUE"""),18.0)</f>
        <v>18</v>
      </c>
      <c r="E4" s="59" t="str">
        <f>IFERROR(__xludf.DUMMYFUNCTION("""COMPUTED_VALUE"""),"https://scholar.google.com.br/citations?hl=en&amp;view_op=list_hcore&amp;venue=KaKG4ZSdHz4J.2019")</f>
        <v>https://scholar.google.com.br/citations?hl=en&amp;view_op=list_hcore&amp;venue=KaKG4ZSdHz4J.2019</v>
      </c>
      <c r="F4" s="142"/>
    </row>
    <row r="5">
      <c r="A5" s="58" t="str">
        <f>IFERROR(__xludf.DUMMYFUNCTION("""COMPUTED_VALUE"""),"Top 10")</f>
        <v>Top 10</v>
      </c>
      <c r="B5" s="57" t="str">
        <f>IFERROR(__xludf.DUMMYFUNCTION("""COMPUTED_VALUE"""),"FMCAD")</f>
        <v>FMCAD</v>
      </c>
      <c r="C5" s="142" t="str">
        <f>IFERROR(__xludf.DUMMYFUNCTION("""COMPUTED_VALUE"""),"International Conference on Formal Methods in Computer-Aided Design")</f>
        <v>International Conference on Formal Methods in Computer-Aided Design</v>
      </c>
      <c r="D5" s="136">
        <f>IFERROR(__xludf.DUMMYFUNCTION("""COMPUTED_VALUE"""),17.0)</f>
        <v>17</v>
      </c>
      <c r="E5" s="59" t="str">
        <f>IFERROR(__xludf.DUMMYFUNCTION("""COMPUTED_VALUE"""),"https://scholar.google.com.br/citations?hl=en&amp;view_op=list_hcore&amp;venue=s5Z0Q8BPlvwJ.2019")</f>
        <v>https://scholar.google.com.br/citations?hl=en&amp;view_op=list_hcore&amp;venue=s5Z0Q8BPlvwJ.2019</v>
      </c>
      <c r="F5" s="57"/>
    </row>
    <row r="6">
      <c r="A6" s="58" t="str">
        <f>IFERROR(__xludf.DUMMYFUNCTION("""COMPUTED_VALUE"""),"Top 10")</f>
        <v>Top 10</v>
      </c>
      <c r="B6" s="57" t="str">
        <f>IFERROR(__xludf.DUMMYFUNCTION("""COMPUTED_VALUE"""),"SEFM")</f>
        <v>SEFM</v>
      </c>
      <c r="C6" s="142" t="str">
        <f>IFERROR(__xludf.DUMMYFUNCTION("""COMPUTED_VALUE"""),"Software Engineering and Formal Methods")</f>
        <v>Software Engineering and Formal Methods</v>
      </c>
      <c r="D6" s="136">
        <f>IFERROR(__xludf.DUMMYFUNCTION("""COMPUTED_VALUE"""),14.0)</f>
        <v>14</v>
      </c>
      <c r="E6" s="59" t="str">
        <f>IFERROR(__xludf.DUMMYFUNCTION("""COMPUTED_VALUE"""),"https://scholar.google.com.br/citations?hl=en&amp;view_op=list_hcore&amp;venue=8ADvAx1bYPYJ.2019")</f>
        <v>https://scholar.google.com.br/citations?hl=en&amp;view_op=list_hcore&amp;venue=8ADvAx1bYPYJ.2019</v>
      </c>
      <c r="F6" s="142"/>
    </row>
    <row r="7">
      <c r="A7" s="58" t="str">
        <f>IFERROR(__xludf.DUMMYFUNCTION("""COMPUTED_VALUE"""),"Top 10")</f>
        <v>Top 10</v>
      </c>
      <c r="B7" s="57" t="str">
        <f>IFERROR(__xludf.DUMMYFUNCTION("""COMPUTED_VALUE"""),"ICFEM")</f>
        <v>ICFEM</v>
      </c>
      <c r="C7" s="142" t="str">
        <f>IFERROR(__xludf.DUMMYFUNCTION("""COMPUTED_VALUE"""),"International Conference on Formal Engineering Methods")</f>
        <v>International Conference on Formal Engineering Methods</v>
      </c>
      <c r="D7" s="136">
        <f>IFERROR(__xludf.DUMMYFUNCTION("""COMPUTED_VALUE"""),13.0)</f>
        <v>13</v>
      </c>
      <c r="E7" s="59" t="str">
        <f>IFERROR(__xludf.DUMMYFUNCTION("""COMPUTED_VALUE"""),"https://scholar.google.com.br/citations?hl=en&amp;view_op=list_hcore&amp;venue=LIYEKQ4Mf5YJ.2019")</f>
        <v>https://scholar.google.com.br/citations?hl=en&amp;view_op=list_hcore&amp;venue=LIYEKQ4Mf5YJ.2019</v>
      </c>
      <c r="F7" s="142"/>
    </row>
    <row r="8">
      <c r="A8" s="58" t="str">
        <f>IFERROR(__xludf.DUMMYFUNCTION("""COMPUTED_VALUE"""),"Top 10")</f>
        <v>Top 10</v>
      </c>
      <c r="B8" s="57" t="str">
        <f>IFERROR(__xludf.DUMMYFUNCTION("""COMPUTED_VALUE"""),"IFM ")</f>
        <v>IFM </v>
      </c>
      <c r="C8" s="142" t="str">
        <f>IFERROR(__xludf.DUMMYFUNCTION("""COMPUTED_VALUE"""),"Integrated Formal Methods")</f>
        <v>Integrated Formal Methods</v>
      </c>
      <c r="D8" s="136">
        <f>IFERROR(__xludf.DUMMYFUNCTION("""COMPUTED_VALUE"""),12.0)</f>
        <v>12</v>
      </c>
      <c r="E8" s="59" t="str">
        <f>IFERROR(__xludf.DUMMYFUNCTION("""COMPUTED_VALUE"""),"https://scholar.google.com.br/citations?hl=en&amp;view_op=list_hcore&amp;venue=Gzge6qp3seEJ.2019")</f>
        <v>https://scholar.google.com.br/citations?hl=en&amp;view_op=list_hcore&amp;venue=Gzge6qp3seEJ.2019</v>
      </c>
      <c r="F8" s="57"/>
    </row>
    <row r="9">
      <c r="A9" s="58" t="str">
        <f>IFERROR(__xludf.DUMMYFUNCTION("""COMPUTED_VALUE"""),"Top 10")</f>
        <v>Top 10</v>
      </c>
      <c r="B9" s="57" t="str">
        <f>IFERROR(__xludf.DUMMYFUNCTION("""COMPUTED_VALUE"""),"NFM")</f>
        <v>NFM</v>
      </c>
      <c r="C9" s="142" t="str">
        <f>IFERROR(__xludf.DUMMYFUNCTION("""COMPUTED_VALUE"""),"Nasa Formal Methods")</f>
        <v>Nasa Formal Methods</v>
      </c>
      <c r="D9" s="136">
        <f>IFERROR(__xludf.DUMMYFUNCTION("""COMPUTED_VALUE"""),16.0)</f>
        <v>16</v>
      </c>
      <c r="E9" s="59" t="str">
        <f>IFERROR(__xludf.DUMMYFUNCTION("""COMPUTED_VALUE"""),"https://scholar.google.com.br/citations?hl=en&amp;view_op=list_hcore&amp;venue=Nw9VzNrATcAJ.2019")</f>
        <v>https://scholar.google.com.br/citations?hl=en&amp;view_op=list_hcore&amp;venue=Nw9VzNrATcAJ.2019</v>
      </c>
      <c r="F9" s="142"/>
    </row>
    <row r="10">
      <c r="A10" s="58" t="str">
        <f>IFERROR(__xludf.DUMMYFUNCTION("""COMPUTED_VALUE"""),"Top 10")</f>
        <v>Top 10</v>
      </c>
      <c r="B10" s="57" t="str">
        <f>IFERROR(__xludf.DUMMYFUNCTION("""COMPUTED_VALUE"""),"CAV")</f>
        <v>CAV</v>
      </c>
      <c r="C10" s="144" t="str">
        <f>IFERROR(__xludf.DUMMYFUNCTION("""COMPUTED_VALUE"""),"International Conference on Computer Aided Verification")</f>
        <v>International Conference on Computer Aided Verification</v>
      </c>
      <c r="D10" s="136">
        <f>IFERROR(__xludf.DUMMYFUNCTION("""COMPUTED_VALUE"""),39.0)</f>
        <v>39</v>
      </c>
      <c r="E10" s="59" t="str">
        <f>IFERROR(__xludf.DUMMYFUNCTION("""COMPUTED_VALUE"""),"https://scholar.google.com.br/citations?hl=en&amp;view_op=list_hcore&amp;venue=qgBvh59sjMQJ.2019")</f>
        <v>https://scholar.google.com.br/citations?hl=en&amp;view_op=list_hcore&amp;venue=qgBvh59sjMQJ.2019</v>
      </c>
      <c r="F10" s="142"/>
    </row>
    <row r="11">
      <c r="A11" s="58" t="str">
        <f>IFERROR(__xludf.DUMMYFUNCTION("""COMPUTED_VALUE"""),"Top 10")</f>
        <v>Top 10</v>
      </c>
      <c r="B11" s="57" t="str">
        <f>IFERROR(__xludf.DUMMYFUNCTION("""COMPUTED_VALUE"""),"SBMF ")</f>
        <v>SBMF </v>
      </c>
      <c r="C11" s="142" t="str">
        <f>IFERROR(__xludf.DUMMYFUNCTION("""COMPUTED_VALUE"""),"Simpósio Brasileiro de Métodos Formais")</f>
        <v>Simpósio Brasileiro de Métodos Formais</v>
      </c>
      <c r="D11" s="57"/>
      <c r="E11" s="57"/>
      <c r="F11" s="142"/>
    </row>
    <row r="12">
      <c r="A12" s="65" t="str">
        <f>IFERROR(__xludf.DUMMYFUNCTION("""COMPUTED_VALUE"""),"Top 20")</f>
        <v>Top 20</v>
      </c>
      <c r="B12" s="57" t="str">
        <f>IFERROR(__xludf.DUMMYFUNCTION("""COMPUTED_VALUE"""),"CONCUR")</f>
        <v>CONCUR</v>
      </c>
      <c r="C12" s="144" t="str">
        <f>IFERROR(__xludf.DUMMYFUNCTION("""COMPUTED_VALUE"""),"International Conference on Concurrency Theory")</f>
        <v>International Conference on Concurrency Theory</v>
      </c>
      <c r="D12" s="136">
        <f>IFERROR(__xludf.DUMMYFUNCTION("""COMPUTED_VALUE"""),21.0)</f>
        <v>21</v>
      </c>
      <c r="E12" s="59" t="str">
        <f>IFERROR(__xludf.DUMMYFUNCTION("""COMPUTED_VALUE"""),"https://scholar.google.com.br/citations?hl=en&amp;view_op=list_hcore&amp;venue=wkpUPIDgNa4J.2019")</f>
        <v>https://scholar.google.com.br/citations?hl=en&amp;view_op=list_hcore&amp;venue=wkpUPIDgNa4J.2019</v>
      </c>
      <c r="F12" s="57"/>
    </row>
    <row r="13">
      <c r="A13" s="65" t="str">
        <f>IFERROR(__xludf.DUMMYFUNCTION("""COMPUTED_VALUE"""),"Top 20")</f>
        <v>Top 20</v>
      </c>
      <c r="B13" s="57" t="str">
        <f>IFERROR(__xludf.DUMMYFUNCTION("""COMPUTED_VALUE"""),"ICTAC ")</f>
        <v>ICTAC </v>
      </c>
      <c r="C13" s="142" t="str">
        <f>IFERROR(__xludf.DUMMYFUNCTION("""COMPUTED_VALUE"""),"International Colloquium on Theoretical Aspects of Computing")</f>
        <v>International Colloquium on Theoretical Aspects of Computing</v>
      </c>
      <c r="D13" s="136">
        <f>IFERROR(__xludf.DUMMYFUNCTION("""COMPUTED_VALUE"""),13.0)</f>
        <v>13</v>
      </c>
      <c r="E13" s="59" t="str">
        <f>IFERROR(__xludf.DUMMYFUNCTION("""COMPUTED_VALUE"""),"https://scholar.google.com.br/citations?hl=en&amp;view_op=list_hcore&amp;venue=foujqxJmEBEJ.2019")</f>
        <v>https://scholar.google.com.br/citations?hl=en&amp;view_op=list_hcore&amp;venue=foujqxJmEBEJ.2019</v>
      </c>
      <c r="F13" s="142"/>
    </row>
    <row r="14">
      <c r="A14" s="65" t="str">
        <f>IFERROR(__xludf.DUMMYFUNCTION("""COMPUTED_VALUE"""),"Top 20")</f>
        <v>Top 20</v>
      </c>
      <c r="B14" s="57" t="str">
        <f>IFERROR(__xludf.DUMMYFUNCTION("""COMPUTED_VALUE"""),"CADE/IJCAR")</f>
        <v>CADE/IJCAR</v>
      </c>
      <c r="C14" s="142" t="str">
        <f>IFERROR(__xludf.DUMMYFUNCTION("""COMPUTED_VALUE"""),"International Conference on Automated Deduction")</f>
        <v>International Conference on Automated Deduction</v>
      </c>
      <c r="D14" s="136">
        <f>IFERROR(__xludf.DUMMYFUNCTION("""COMPUTED_VALUE"""),17.0)</f>
        <v>17</v>
      </c>
      <c r="E14" s="59" t="str">
        <f>IFERROR(__xludf.DUMMYFUNCTION("""COMPUTED_VALUE"""),"https://scholar.google.com.br/citations?hl=en&amp;view_op=list_hcore&amp;venue=uulzuBwI1mAJ.2019")</f>
        <v>https://scholar.google.com.br/citations?hl=en&amp;view_op=list_hcore&amp;venue=uulzuBwI1mAJ.2019</v>
      </c>
      <c r="F14" s="57"/>
    </row>
    <row r="15">
      <c r="A15" s="65" t="str">
        <f>IFERROR(__xludf.DUMMYFUNCTION("""COMPUTED_VALUE"""),"Top 20")</f>
        <v>Top 20</v>
      </c>
      <c r="B15" s="57" t="str">
        <f>IFERROR(__xludf.DUMMYFUNCTION("""COMPUTED_VALUE"""),"ABZ")</f>
        <v>ABZ</v>
      </c>
      <c r="C15" s="142" t="str">
        <f>IFERROR(__xludf.DUMMYFUNCTION("""COMPUTED_VALUE"""),"International ABZ Conference ASM, Alloy, B, TLA, VDM, Z")</f>
        <v>International ABZ Conference ASM, Alloy, B, TLA, VDM, Z</v>
      </c>
      <c r="D15" s="136">
        <f>IFERROR(__xludf.DUMMYFUNCTION("""COMPUTED_VALUE"""),13.0)</f>
        <v>13</v>
      </c>
      <c r="E15" s="59" t="str">
        <f>IFERROR(__xludf.DUMMYFUNCTION("""COMPUTED_VALUE"""),"https://scholar.google.com.br/citations?hl=en&amp;view_op=list_hcore&amp;venue=P_bGcOzNXgIJ.2019")</f>
        <v>https://scholar.google.com.br/citations?hl=en&amp;view_op=list_hcore&amp;venue=P_bGcOzNXgIJ.2019</v>
      </c>
      <c r="F15" s="57"/>
    </row>
    <row r="16">
      <c r="A16" s="65" t="str">
        <f>IFERROR(__xludf.DUMMYFUNCTION("""COMPUTED_VALUE"""),"Top 20")</f>
        <v>Top 20</v>
      </c>
      <c r="B16" s="57" t="str">
        <f>IFERROR(__xludf.DUMMYFUNCTION("""COMPUTED_VALUE"""),"FACS")</f>
        <v>FACS</v>
      </c>
      <c r="C16" s="142" t="str">
        <f>IFERROR(__xludf.DUMMYFUNCTION("""COMPUTED_VALUE"""),"International Conference on Formal Aspects of Component Software")</f>
        <v>International Conference on Formal Aspects of Component Software</v>
      </c>
      <c r="D16" s="136">
        <f>IFERROR(__xludf.DUMMYFUNCTION("""COMPUTED_VALUE"""),19.0)</f>
        <v>19</v>
      </c>
      <c r="E16" s="59" t="str">
        <f>IFERROR(__xludf.DUMMYFUNCTION("""COMPUTED_VALUE"""),"https://scholar.google.com.br/citations?hl=en&amp;view_op=list_hcore&amp;venue=1wsH4YLiPpcJ.2019")</f>
        <v>https://scholar.google.com.br/citations?hl=en&amp;view_op=list_hcore&amp;venue=1wsH4YLiPpcJ.2019</v>
      </c>
      <c r="F16" s="57"/>
    </row>
    <row r="17">
      <c r="A17" s="65" t="str">
        <f>IFERROR(__xludf.DUMMYFUNCTION("""COMPUTED_VALUE"""),"Top 20")</f>
        <v>Top 20</v>
      </c>
      <c r="B17" s="57" t="str">
        <f>IFERROR(__xludf.DUMMYFUNCTION("""COMPUTED_VALUE"""),"ISOLA")</f>
        <v>ISOLA</v>
      </c>
      <c r="C17" s="142" t="str">
        <f>IFERROR(__xludf.DUMMYFUNCTION("""COMPUTED_VALUE"""),"International Symposium on Leveraging Applications of Formal Methods, Verification and Validation")</f>
        <v>International Symposium on Leveraging Applications of Formal Methods, Verification and Validation</v>
      </c>
      <c r="D17" s="136">
        <f>IFERROR(__xludf.DUMMYFUNCTION("""COMPUTED_VALUE"""),17.0)</f>
        <v>17</v>
      </c>
      <c r="E17" s="59" t="str">
        <f>IFERROR(__xludf.DUMMYFUNCTION("""COMPUTED_VALUE"""),"https://scholar.google.com.br/citations?hl=en&amp;view_op=list_hcore&amp;venue=wOH94ungceEJ.2019")</f>
        <v>https://scholar.google.com.br/citations?hl=en&amp;view_op=list_hcore&amp;venue=wOH94ungceEJ.2019</v>
      </c>
      <c r="F17" s="57"/>
    </row>
    <row r="18">
      <c r="A18" s="65" t="str">
        <f>IFERROR(__xludf.DUMMYFUNCTION("""COMPUTED_VALUE"""),"Top 20")</f>
        <v>Top 20</v>
      </c>
      <c r="B18" s="57" t="str">
        <f>IFERROR(__xludf.DUMMYFUNCTION("""COMPUTED_VALUE"""),"ITP")</f>
        <v>ITP</v>
      </c>
      <c r="C18" s="142" t="str">
        <f>IFERROR(__xludf.DUMMYFUNCTION("""COMPUTED_VALUE"""),"International Conference on Interactive Theorem Proving")</f>
        <v>International Conference on Interactive Theorem Proving</v>
      </c>
      <c r="D18" s="136">
        <f>IFERROR(__xludf.DUMMYFUNCTION("""COMPUTED_VALUE"""),19.0)</f>
        <v>19</v>
      </c>
      <c r="E18" s="59" t="str">
        <f>IFERROR(__xludf.DUMMYFUNCTION("""COMPUTED_VALUE"""),"https://scholar.google.com.br/citations?hl=en&amp;view_op=list_hcore&amp;venue=dC3V1ZRAEU4J.2019")</f>
        <v>https://scholar.google.com.br/citations?hl=en&amp;view_op=list_hcore&amp;venue=dC3V1ZRAEU4J.2019</v>
      </c>
      <c r="F18" s="57"/>
    </row>
    <row r="19">
      <c r="A19" s="65" t="str">
        <f>IFERROR(__xludf.DUMMYFUNCTION("""COMPUTED_VALUE"""),"Top 20")</f>
        <v>Top 20</v>
      </c>
      <c r="B19" s="57" t="str">
        <f>IFERROR(__xludf.DUMMYFUNCTION("""COMPUTED_VALUE"""),"TASE")</f>
        <v>TASE</v>
      </c>
      <c r="C19" s="142" t="str">
        <f>IFERROR(__xludf.DUMMYFUNCTION("""COMPUTED_VALUE"""),"Theoretical Aspects of Software Engineering")</f>
        <v>Theoretical Aspects of Software Engineering</v>
      </c>
      <c r="D19" s="136">
        <f>IFERROR(__xludf.DUMMYFUNCTION("""COMPUTED_VALUE"""),9.0)</f>
        <v>9</v>
      </c>
      <c r="E19" s="59" t="str">
        <f>IFERROR(__xludf.DUMMYFUNCTION("""COMPUTED_VALUE"""),"https://scholar.google.com.br/citations?hl=en&amp;view_op=list_hcore&amp;venue=WZLpmXhRGDcJ.2019")</f>
        <v>https://scholar.google.com.br/citations?hl=en&amp;view_op=list_hcore&amp;venue=WZLpmXhRGDcJ.2019</v>
      </c>
      <c r="F19" s="57"/>
    </row>
    <row r="20">
      <c r="A20" s="65" t="str">
        <f>IFERROR(__xludf.DUMMYFUNCTION("""COMPUTED_VALUE"""),"Top 20")</f>
        <v>Top 20</v>
      </c>
      <c r="B20" s="57" t="str">
        <f>IFERROR(__xludf.DUMMYFUNCTION("""COMPUTED_VALUE"""),"ICGT")</f>
        <v>ICGT</v>
      </c>
      <c r="C20" s="145" t="str">
        <f>IFERROR(__xludf.DUMMYFUNCTION("""COMPUTED_VALUE"""),"International Conference on Graph Transformations")</f>
        <v>International Conference on Graph Transformations</v>
      </c>
      <c r="D20" s="57"/>
      <c r="E20" s="57"/>
      <c r="F20" s="142"/>
    </row>
    <row r="21">
      <c r="A21" s="65" t="str">
        <f>IFERROR(__xludf.DUMMYFUNCTION("""COMPUTED_VALUE"""),"Top 20")</f>
        <v>Top 20</v>
      </c>
    </row>
    <row r="22">
      <c r="A22" s="68" t="str">
        <f>IFERROR(__xludf.DUMMYFUNCTION("""COMPUTED_VALUE"""),"Eventos da Área")</f>
        <v>Eventos da Área</v>
      </c>
    </row>
    <row r="23">
      <c r="A23" s="68" t="str">
        <f>IFERROR(__xludf.DUMMYFUNCTION("""COMPUTED_VALUE"""),"Eventos da Área")</f>
        <v>Eventos da Área</v>
      </c>
    </row>
    <row r="24">
      <c r="A24" s="68" t="str">
        <f>IFERROR(__xludf.DUMMYFUNCTION("""COMPUTED_VALUE"""),"Eventos da Área")</f>
        <v>Eventos da Área</v>
      </c>
    </row>
    <row r="25">
      <c r="A25" s="68" t="str">
        <f>IFERROR(__xludf.DUMMYFUNCTION("""COMPUTED_VALUE"""),"Eventos da Área")</f>
        <v>Eventos da Área</v>
      </c>
    </row>
    <row r="26">
      <c r="A26" s="68" t="str">
        <f>IFERROR(__xludf.DUMMYFUNCTION("""COMPUTED_VALUE"""),"Eventos da Área")</f>
        <v>Eventos da Área</v>
      </c>
    </row>
    <row r="27">
      <c r="A27" s="68" t="str">
        <f>IFERROR(__xludf.DUMMYFUNCTION("""COMPUTED_VALUE"""),"Eventos da Área")</f>
        <v>Eventos da Área</v>
      </c>
    </row>
    <row r="28">
      <c r="A28" s="68" t="str">
        <f>IFERROR(__xludf.DUMMYFUNCTION("""COMPUTED_VALUE"""),"Eventos da Área")</f>
        <v>Eventos da Área</v>
      </c>
    </row>
    <row r="29">
      <c r="A29" s="68" t="str">
        <f>IFERROR(__xludf.DUMMYFUNCTION("""COMPUTED_VALUE"""),"Eventos da Área")</f>
        <v>Eventos da Área</v>
      </c>
    </row>
    <row r="30">
      <c r="A30" s="68" t="str">
        <f>IFERROR(__xludf.DUMMYFUNCTION("""COMPUTED_VALUE"""),"Eventos da Área")</f>
        <v>Eventos da Área</v>
      </c>
    </row>
    <row r="31">
      <c r="A31" s="68" t="str">
        <f>IFERROR(__xludf.DUMMYFUNCTION("""COMPUTED_VALUE"""),"Eventos da Área")</f>
        <v>Eventos da Área</v>
      </c>
    </row>
    <row r="32">
      <c r="A32" s="68" t="str">
        <f>IFERROR(__xludf.DUMMYFUNCTION("""COMPUTED_VALUE"""),"Eventos da Área")</f>
        <v>Eventos da Área</v>
      </c>
    </row>
    <row r="33">
      <c r="A33" s="68" t="str">
        <f>IFERROR(__xludf.DUMMYFUNCTION("""COMPUTED_VALUE"""),"Eventos da Área")</f>
        <v>Eventos da Área</v>
      </c>
    </row>
    <row r="34">
      <c r="A34" s="68" t="str">
        <f>IFERROR(__xludf.DUMMYFUNCTION("""COMPUTED_VALUE"""),"Eventos da Área")</f>
        <v>Eventos da Área</v>
      </c>
    </row>
    <row r="35">
      <c r="A35" s="68" t="str">
        <f>IFERROR(__xludf.DUMMYFUNCTION("""COMPUTED_VALUE"""),"Eventos da Área")</f>
        <v>Eventos da Área</v>
      </c>
    </row>
    <row r="36">
      <c r="A36" s="68" t="str">
        <f>IFERROR(__xludf.DUMMYFUNCTION("""COMPUTED_VALUE"""),"Eventos da Área")</f>
        <v>Eventos da Área</v>
      </c>
    </row>
    <row r="37">
      <c r="A37" s="68" t="str">
        <f>IFERROR(__xludf.DUMMYFUNCTION("""COMPUTED_VALUE"""),"Eventos da Área")</f>
        <v>Eventos da Área</v>
      </c>
    </row>
    <row r="38">
      <c r="A38" s="68" t="str">
        <f>IFERROR(__xludf.DUMMYFUNCTION("""COMPUTED_VALUE"""),"Eventos da Área")</f>
        <v>Eventos da Área</v>
      </c>
    </row>
    <row r="39">
      <c r="A39" s="68" t="str">
        <f>IFERROR(__xludf.DUMMYFUNCTION("""COMPUTED_VALUE"""),"Eventos da Área")</f>
        <v>Eventos da Área</v>
      </c>
    </row>
    <row r="40">
      <c r="A40" s="68" t="str">
        <f>IFERROR(__xludf.DUMMYFUNCTION("""COMPUTED_VALUE"""),"Eventos da Área")</f>
        <v>Eventos da Área</v>
      </c>
    </row>
    <row r="41">
      <c r="A41" s="68" t="str">
        <f>IFERROR(__xludf.DUMMYFUNCTION("""COMPUTED_VALUE"""),"Eventos da Área")</f>
        <v>Eventos da Área</v>
      </c>
    </row>
    <row r="42">
      <c r="A42" s="68" t="str">
        <f>IFERROR(__xludf.DUMMYFUNCTION("""COMPUTED_VALUE"""),"Eventos da Área")</f>
        <v>Eventos da Área</v>
      </c>
    </row>
    <row r="43">
      <c r="A43" s="68" t="str">
        <f>IFERROR(__xludf.DUMMYFUNCTION("""COMPUTED_VALUE"""),"Eventos da Área")</f>
        <v>Eventos da Área</v>
      </c>
    </row>
    <row r="44">
      <c r="A44" s="68" t="str">
        <f>IFERROR(__xludf.DUMMYFUNCTION("""COMPUTED_VALUE"""),"Eventos da Área")</f>
        <v>Eventos da Área</v>
      </c>
    </row>
    <row r="45">
      <c r="A45" s="68" t="str">
        <f>IFERROR(__xludf.DUMMYFUNCTION("""COMPUTED_VALUE"""),"Eventos da Área")</f>
        <v>Eventos da Área</v>
      </c>
    </row>
    <row r="46">
      <c r="A46" s="68" t="str">
        <f>IFERROR(__xludf.DUMMYFUNCTION("""COMPUTED_VALUE"""),"Eventos da Área")</f>
        <v>Eventos da Área</v>
      </c>
    </row>
    <row r="47">
      <c r="A47" s="68" t="str">
        <f>IFERROR(__xludf.DUMMYFUNCTION("""COMPUTED_VALUE"""),"Eventos da Área")</f>
        <v>Eventos da Área</v>
      </c>
    </row>
    <row r="48">
      <c r="A48" s="68" t="str">
        <f>IFERROR(__xludf.DUMMYFUNCTION("""COMPUTED_VALUE"""),"Eventos da Área")</f>
        <v>Eventos da Área</v>
      </c>
    </row>
    <row r="49">
      <c r="A49" s="68" t="str">
        <f>IFERROR(__xludf.DUMMYFUNCTION("""COMPUTED_VALUE"""),"Eventos da Área")</f>
        <v>Eventos da Área</v>
      </c>
    </row>
    <row r="50">
      <c r="A50" s="68" t="str">
        <f>IFERROR(__xludf.DUMMYFUNCTION("""COMPUTED_VALUE"""),"Eventos da Área")</f>
        <v>Eventos da Área</v>
      </c>
    </row>
    <row r="51">
      <c r="A51" s="68" t="str">
        <f>IFERROR(__xludf.DUMMYFUNCTION("""COMPUTED_VALUE"""),"Eventos da Área")</f>
        <v>Eventos da Área</v>
      </c>
    </row>
    <row r="52">
      <c r="A52" s="68" t="str">
        <f>IFERROR(__xludf.DUMMYFUNCTION("""COMPUTED_VALUE"""),"Eventos da Área")</f>
        <v>Eventos da Área</v>
      </c>
    </row>
    <row r="53">
      <c r="A53" s="68" t="str">
        <f>IFERROR(__xludf.DUMMYFUNCTION("""COMPUTED_VALUE"""),"Eventos da Área")</f>
        <v>Eventos da Área</v>
      </c>
    </row>
    <row r="54">
      <c r="A54" s="68" t="str">
        <f>IFERROR(__xludf.DUMMYFUNCTION("""COMPUTED_VALUE"""),"Eventos da Área")</f>
        <v>Eventos da Área</v>
      </c>
    </row>
    <row r="55">
      <c r="A55" s="68" t="str">
        <f>IFERROR(__xludf.DUMMYFUNCTION("""COMPUTED_VALUE"""),"Eventos da Área")</f>
        <v>Eventos da Área</v>
      </c>
    </row>
    <row r="56">
      <c r="A56" s="68" t="str">
        <f>IFERROR(__xludf.DUMMYFUNCTION("""COMPUTED_VALUE"""),"Eventos da Área")</f>
        <v>Eventos da Área</v>
      </c>
    </row>
    <row r="57">
      <c r="A57" s="68" t="str">
        <f>IFERROR(__xludf.DUMMYFUNCTION("""COMPUTED_VALUE"""),"Eventos da Área")</f>
        <v>Eventos da Área</v>
      </c>
    </row>
    <row r="58">
      <c r="A58" s="68" t="str">
        <f>IFERROR(__xludf.DUMMYFUNCTION("""COMPUTED_VALUE"""),"Eventos da Área")</f>
        <v>Eventos da Área</v>
      </c>
    </row>
    <row r="59">
      <c r="A59" s="68" t="str">
        <f>IFERROR(__xludf.DUMMYFUNCTION("""COMPUTED_VALUE"""),"Eventos da Área")</f>
        <v>Eventos da Área</v>
      </c>
    </row>
    <row r="60">
      <c r="A60" s="68" t="str">
        <f>IFERROR(__xludf.DUMMYFUNCTION("""COMPUTED_VALUE"""),"Eventos da Área")</f>
        <v>Eventos da Área</v>
      </c>
    </row>
    <row r="61">
      <c r="A61" s="68" t="str">
        <f>IFERROR(__xludf.DUMMYFUNCTION("""COMPUTED_VALUE"""),"Eventos da Área")</f>
        <v>Eventos da Área</v>
      </c>
    </row>
    <row r="62">
      <c r="A62" s="68" t="str">
        <f>IFERROR(__xludf.DUMMYFUNCTION("""COMPUTED_VALUE"""),"Eventos da Área")</f>
        <v>Eventos da Área</v>
      </c>
    </row>
    <row r="63">
      <c r="A63" s="68" t="str">
        <f>IFERROR(__xludf.DUMMYFUNCTION("""COMPUTED_VALUE"""),"Eventos da Área")</f>
        <v>Eventos da Área</v>
      </c>
    </row>
    <row r="64">
      <c r="A64" s="68" t="str">
        <f>IFERROR(__xludf.DUMMYFUNCTION("""COMPUTED_VALUE"""),"Eventos da Área")</f>
        <v>Eventos da Área</v>
      </c>
    </row>
    <row r="65">
      <c r="A65" s="68" t="str">
        <f>IFERROR(__xludf.DUMMYFUNCTION("""COMPUTED_VALUE"""),"Eventos da Área")</f>
        <v>Eventos da Área</v>
      </c>
    </row>
    <row r="66">
      <c r="A66" s="68" t="str">
        <f>IFERROR(__xludf.DUMMYFUNCTION("""COMPUTED_VALUE"""),"Eventos da Área")</f>
        <v>Eventos da Área</v>
      </c>
    </row>
    <row r="67">
      <c r="A67" s="68" t="str">
        <f>IFERROR(__xludf.DUMMYFUNCTION("""COMPUTED_VALUE"""),"Eventos da Área")</f>
        <v>Eventos da Área</v>
      </c>
    </row>
    <row r="68">
      <c r="A68" s="68" t="str">
        <f>IFERROR(__xludf.DUMMYFUNCTION("""COMPUTED_VALUE"""),"Eventos da Área")</f>
        <v>Eventos da Área</v>
      </c>
    </row>
    <row r="69">
      <c r="A69" s="68" t="str">
        <f>IFERROR(__xludf.DUMMYFUNCTION("""COMPUTED_VALUE"""),"Eventos da Área")</f>
        <v>Eventos da Área</v>
      </c>
    </row>
    <row r="70">
      <c r="A70" s="68" t="str">
        <f>IFERROR(__xludf.DUMMYFUNCTION("""COMPUTED_VALUE"""),"Eventos da Área")</f>
        <v>Eventos da Área</v>
      </c>
    </row>
    <row r="71">
      <c r="A71" s="68" t="str">
        <f>IFERROR(__xludf.DUMMYFUNCTION("""COMPUTED_VALUE"""),"Eventos da Área")</f>
        <v>Eventos da Área</v>
      </c>
    </row>
    <row r="72">
      <c r="A72" s="68" t="str">
        <f>IFERROR(__xludf.DUMMYFUNCTION("""COMPUTED_VALUE"""),"Eventos da Área")</f>
        <v>Eventos da Área</v>
      </c>
    </row>
    <row r="73">
      <c r="A73" s="68" t="str">
        <f>IFERROR(__xludf.DUMMYFUNCTION("""COMPUTED_VALUE"""),"Eventos da Área")</f>
        <v>Eventos da Área</v>
      </c>
    </row>
    <row r="74">
      <c r="A74" s="68" t="str">
        <f>IFERROR(__xludf.DUMMYFUNCTION("""COMPUTED_VALUE"""),"Eventos da Área")</f>
        <v>Eventos da Área</v>
      </c>
    </row>
    <row r="75">
      <c r="A75" s="68" t="str">
        <f>IFERROR(__xludf.DUMMYFUNCTION("""COMPUTED_VALUE"""),"Eventos da Área")</f>
        <v>Eventos da Área</v>
      </c>
    </row>
    <row r="76">
      <c r="A76" s="68" t="str">
        <f>IFERROR(__xludf.DUMMYFUNCTION("""COMPUTED_VALUE"""),"Eventos da Área")</f>
        <v>Eventos da Área</v>
      </c>
    </row>
    <row r="77">
      <c r="A77" s="68" t="str">
        <f>IFERROR(__xludf.DUMMYFUNCTION("""COMPUTED_VALUE"""),"Eventos da Área")</f>
        <v>Eventos da Área</v>
      </c>
    </row>
    <row r="78">
      <c r="A78" s="68" t="str">
        <f>IFERROR(__xludf.DUMMYFUNCTION("""COMPUTED_VALUE"""),"Eventos da Área")</f>
        <v>Eventos da Área</v>
      </c>
    </row>
    <row r="79">
      <c r="A79" s="68" t="str">
        <f>IFERROR(__xludf.DUMMYFUNCTION("""COMPUTED_VALUE"""),"Eventos da Área")</f>
        <v>Eventos da Área</v>
      </c>
    </row>
    <row r="80">
      <c r="A80" s="68" t="str">
        <f>IFERROR(__xludf.DUMMYFUNCTION("""COMPUTED_VALUE"""),"Eventos da Área")</f>
        <v>Eventos da Área</v>
      </c>
    </row>
    <row r="81">
      <c r="A81" s="68" t="str">
        <f>IFERROR(__xludf.DUMMYFUNCTION("""COMPUTED_VALUE"""),"Eventos da Área")</f>
        <v>Eventos da Área</v>
      </c>
    </row>
    <row r="82">
      <c r="A82" s="68" t="str">
        <f>IFERROR(__xludf.DUMMYFUNCTION("""COMPUTED_VALUE"""),"Eventos da Área")</f>
        <v>Eventos da Área</v>
      </c>
    </row>
    <row r="83">
      <c r="A83" s="68" t="str">
        <f>IFERROR(__xludf.DUMMYFUNCTION("""COMPUTED_VALUE"""),"Eventos da Área")</f>
        <v>Eventos da Área</v>
      </c>
    </row>
    <row r="84">
      <c r="A84" s="68" t="str">
        <f>IFERROR(__xludf.DUMMYFUNCTION("""COMPUTED_VALUE"""),"Eventos da Área")</f>
        <v>Eventos da Área</v>
      </c>
    </row>
    <row r="85">
      <c r="A85" s="68" t="str">
        <f>IFERROR(__xludf.DUMMYFUNCTION("""COMPUTED_VALUE"""),"Eventos da Área")</f>
        <v>Eventos da Área</v>
      </c>
    </row>
    <row r="86">
      <c r="A86" s="68" t="str">
        <f>IFERROR(__xludf.DUMMYFUNCTION("""COMPUTED_VALUE"""),"Eventos da Área")</f>
        <v>Eventos da Área</v>
      </c>
    </row>
    <row r="87">
      <c r="A87" s="68" t="str">
        <f>IFERROR(__xludf.DUMMYFUNCTION("""COMPUTED_VALUE"""),"Eventos da Área")</f>
        <v>Eventos da Área</v>
      </c>
    </row>
    <row r="88">
      <c r="A88" s="68" t="str">
        <f>IFERROR(__xludf.DUMMYFUNCTION("""COMPUTED_VALUE"""),"Eventos da Área")</f>
        <v>Eventos da Área</v>
      </c>
    </row>
    <row r="89">
      <c r="A89" s="68" t="str">
        <f>IFERROR(__xludf.DUMMYFUNCTION("""COMPUTED_VALUE"""),"Eventos da Área")</f>
        <v>Eventos da Área</v>
      </c>
    </row>
    <row r="90">
      <c r="A90" s="68" t="str">
        <f>IFERROR(__xludf.DUMMYFUNCTION("""COMPUTED_VALUE"""),"Eventos da Área")</f>
        <v>Eventos da Área</v>
      </c>
    </row>
    <row r="91">
      <c r="A91" s="68" t="str">
        <f>IFERROR(__xludf.DUMMYFUNCTION("""COMPUTED_VALUE"""),"Eventos da Área")</f>
        <v>Eventos da Área</v>
      </c>
    </row>
    <row r="92">
      <c r="A92" s="68" t="str">
        <f>IFERROR(__xludf.DUMMYFUNCTION("""COMPUTED_VALUE"""),"Eventos da Área")</f>
        <v>Eventos da Área</v>
      </c>
    </row>
    <row r="93">
      <c r="A93" s="68" t="str">
        <f>IFERROR(__xludf.DUMMYFUNCTION("""COMPUTED_VALUE"""),"Eventos da Área")</f>
        <v>Eventos da Área</v>
      </c>
    </row>
    <row r="94">
      <c r="A94" s="68" t="str">
        <f>IFERROR(__xludf.DUMMYFUNCTION("""COMPUTED_VALUE"""),"Eventos da Área")</f>
        <v>Eventos da Área</v>
      </c>
    </row>
    <row r="95">
      <c r="A95" s="68" t="str">
        <f>IFERROR(__xludf.DUMMYFUNCTION("""COMPUTED_VALUE"""),"Eventos da Área")</f>
        <v>Eventos da Área</v>
      </c>
    </row>
    <row r="96">
      <c r="A96" s="68" t="str">
        <f>IFERROR(__xludf.DUMMYFUNCTION("""COMPUTED_VALUE"""),"Eventos da Área")</f>
        <v>Eventos da Área</v>
      </c>
    </row>
    <row r="97">
      <c r="A97" s="68" t="str">
        <f>IFERROR(__xludf.DUMMYFUNCTION("""COMPUTED_VALUE"""),"Eventos da Área")</f>
        <v>Eventos da Área</v>
      </c>
    </row>
    <row r="98">
      <c r="A98" s="68" t="str">
        <f>IFERROR(__xludf.DUMMYFUNCTION("""COMPUTED_VALUE"""),"Eventos da Área")</f>
        <v>Eventos da Área</v>
      </c>
    </row>
    <row r="99">
      <c r="A99" s="68" t="str">
        <f>IFERROR(__xludf.DUMMYFUNCTION("""COMPUTED_VALUE"""),"Eventos da Área")</f>
        <v>Eventos da Área</v>
      </c>
    </row>
    <row r="100">
      <c r="A100" s="68" t="str">
        <f>IFERROR(__xludf.DUMMYFUNCTION("""COMPUTED_VALUE"""),"Eventos da Área")</f>
        <v>Eventos da Área</v>
      </c>
    </row>
    <row r="101">
      <c r="A101" s="68" t="str">
        <f>IFERROR(__xludf.DUMMYFUNCTION("""COMPUTED_VALUE"""),"Eventos da Área")</f>
        <v>Eventos da Área</v>
      </c>
    </row>
  </sheetData>
  <hyperlinks>
    <hyperlink r:id="rId1" ref="E2"/>
    <hyperlink r:id="rId2" ref="E3"/>
    <hyperlink r:id="rId3" ref="E4"/>
    <hyperlink r:id="rId4" ref="E5"/>
    <hyperlink r:id="rId5" ref="E6"/>
    <hyperlink r:id="rId6" ref="E7"/>
    <hyperlink r:id="rId7" ref="E8"/>
    <hyperlink r:id="rId8" ref="E9"/>
    <hyperlink r:id="rId9" ref="E10"/>
    <hyperlink r:id="rId10" ref="E12"/>
    <hyperlink r:id="rId11" ref="E13"/>
    <hyperlink r:id="rId12" ref="E14"/>
    <hyperlink r:id="rId13" ref="E15"/>
    <hyperlink r:id="rId14" ref="E16"/>
    <hyperlink r:id="rId15" ref="E17"/>
    <hyperlink r:id="rId16" ref="E18"/>
    <hyperlink r:id="rId17" ref="E19"/>
  </hyperlinks>
  <drawing r:id="rId18"/>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64.75"/>
    <col customWidth="1" min="7" max="7" width="30.38"/>
    <col customWidth="1" min="8" max="8" width="26.63"/>
    <col customWidth="1" min="9" max="9" width="33.25"/>
    <col customWidth="1" min="10" max="10" width="32.63"/>
  </cols>
  <sheetData>
    <row r="1">
      <c r="A1" s="1" t="str">
        <f>IFERROR(__xludf.DUMMYFUNCTION("importrange(""https://docs.google.com/spreadsheets/d/1_YE6qN2262ozAIE7vB2Jd3c3Em0t2pCZWIeECQTF1bc/edit#gid=1824529408"",""CE-ACO!A1:J150"")"),"TOP")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58" t="str">
        <f>IFERROR(__xludf.DUMMYFUNCTION("""COMPUTED_VALUE"""),"Top 10")</f>
        <v>Top 10</v>
      </c>
      <c r="B2" s="146" t="str">
        <f>IFERROR(__xludf.DUMMYFUNCTION("""COMPUTED_VALUE"""),"STOC")</f>
        <v>STOC</v>
      </c>
      <c r="C2" s="146" t="str">
        <f>IFERROR(__xludf.DUMMYFUNCTION("""COMPUTED_VALUE"""),"ACM Symposium on Theory of Computing")</f>
        <v>ACM Symposium on Theory of Computing</v>
      </c>
      <c r="D2" s="147">
        <f>IFERROR(__xludf.DUMMYFUNCTION("""COMPUTED_VALUE"""),57.0)</f>
        <v>57</v>
      </c>
      <c r="E2" s="147" t="str">
        <f>IFERROR(__xludf.DUMMYFUNCTION("""COMPUTED_VALUE"""),"https://scholar.google.com/citations?hl=en&amp;view_op=list_hcore&amp;venue=t-147h7Cn5cJ.2024")</f>
        <v>https://scholar.google.com/citations?hl=en&amp;view_op=list_hcore&amp;venue=t-147h7Cn5cJ.2024</v>
      </c>
      <c r="F2" s="146"/>
      <c r="G2" s="120"/>
      <c r="I2" s="60" t="str">
        <f>IFERROR(__xludf.DUMMYFUNCTION("""COMPUTED_VALUE"""),"https://dblp.org/db/conf/stoc/index.html")</f>
        <v>https://dblp.org/db/conf/stoc/index.html</v>
      </c>
    </row>
    <row r="3">
      <c r="A3" s="58" t="str">
        <f>IFERROR(__xludf.DUMMYFUNCTION("""COMPUTED_VALUE"""),"Top 10")</f>
        <v>Top 10</v>
      </c>
      <c r="B3" s="146" t="str">
        <f>IFERROR(__xludf.DUMMYFUNCTION("""COMPUTED_VALUE"""),"SODA")</f>
        <v>SODA</v>
      </c>
      <c r="C3" s="146" t="str">
        <f>IFERROR(__xludf.DUMMYFUNCTION("""COMPUTED_VALUE"""),"ACM-SIAM Symposium on Discrete Algorithms")</f>
        <v>ACM-SIAM Symposium on Discrete Algorithms</v>
      </c>
      <c r="D3" s="148">
        <f>IFERROR(__xludf.DUMMYFUNCTION("""COMPUTED_VALUE"""),55.0)</f>
        <v>55</v>
      </c>
      <c r="E3" s="147" t="str">
        <f>IFERROR(__xludf.DUMMYFUNCTION("""COMPUTED_VALUE"""),"https://scholar.google.com/citations?hl=en&amp;view_op=list_hcore&amp;venue=9lG2cY79sEoJ.2024")</f>
        <v>https://scholar.google.com/citations?hl=en&amp;view_op=list_hcore&amp;venue=9lG2cY79sEoJ.2024</v>
      </c>
      <c r="F3" s="146"/>
      <c r="G3" s="120"/>
      <c r="I3" s="60" t="str">
        <f>IFERROR(__xludf.DUMMYFUNCTION("""COMPUTED_VALUE"""),"https://dblp.org/db/conf/soda/index.html")</f>
        <v>https://dblp.org/db/conf/soda/index.html</v>
      </c>
    </row>
    <row r="4">
      <c r="A4" s="58" t="str">
        <f>IFERROR(__xludf.DUMMYFUNCTION("""COMPUTED_VALUE"""),"Top 10")</f>
        <v>Top 10</v>
      </c>
      <c r="B4" s="146" t="str">
        <f>IFERROR(__xludf.DUMMYFUNCTION("""COMPUTED_VALUE"""),"ITCS")</f>
        <v>ITCS</v>
      </c>
      <c r="C4" s="146" t="str">
        <f>IFERROR(__xludf.DUMMYFUNCTION("""COMPUTED_VALUE"""),"Conference on Innovations in Theoretical Computer Science")</f>
        <v>Conference on Innovations in Theoretical Computer Science</v>
      </c>
      <c r="D4" s="148">
        <f>IFERROR(__xludf.DUMMYFUNCTION("""COMPUTED_VALUE"""),35.0)</f>
        <v>35</v>
      </c>
      <c r="E4" s="147" t="str">
        <f>IFERROR(__xludf.DUMMYFUNCTION("""COMPUTED_VALUE"""),"https://scholar.google.com/citations?hl=en&amp;view_op=list_hcore&amp;venue=YFgbcWcmuG4J.2024")</f>
        <v>https://scholar.google.com/citations?hl=en&amp;view_op=list_hcore&amp;venue=YFgbcWcmuG4J.2024</v>
      </c>
      <c r="F4" s="146"/>
      <c r="G4" s="120"/>
      <c r="I4" s="60" t="str">
        <f>IFERROR(__xludf.DUMMYFUNCTION("""COMPUTED_VALUE"""),"https://dblp.org/db/conf/itcs/index.html")</f>
        <v>https://dblp.org/db/conf/itcs/index.html</v>
      </c>
    </row>
    <row r="5">
      <c r="A5" s="58" t="str">
        <f>IFERROR(__xludf.DUMMYFUNCTION("""COMPUTED_VALUE"""),"Top 10")</f>
        <v>Top 10</v>
      </c>
      <c r="B5" s="146" t="str">
        <f>IFERROR(__xludf.DUMMYFUNCTION("""COMPUTED_VALUE"""),"IPCO")</f>
        <v>IPCO</v>
      </c>
      <c r="C5" s="146" t="str">
        <f>IFERROR(__xludf.DUMMYFUNCTION("""COMPUTED_VALUE"""),"Conference on Integer Programming and Combinatorial Optimization")</f>
        <v>Conference on Integer Programming and Combinatorial Optimization</v>
      </c>
      <c r="D5" s="148">
        <f>IFERROR(__xludf.DUMMYFUNCTION("""COMPUTED_VALUE"""),16.0)</f>
        <v>16</v>
      </c>
      <c r="E5" s="147" t="str">
        <f>IFERROR(__xludf.DUMMYFUNCTION("""COMPUTED_VALUE"""),"https://scholar.google.com/citations?hl=en&amp;view_op=list_hcore&amp;venue=_8wwFhBIq4cJ.2023")</f>
        <v>https://scholar.google.com/citations?hl=en&amp;view_op=list_hcore&amp;venue=_8wwFhBIq4cJ.2023</v>
      </c>
      <c r="F5" s="146"/>
      <c r="G5" s="120"/>
      <c r="I5" s="60" t="str">
        <f>IFERROR(__xludf.DUMMYFUNCTION("""COMPUTED_VALUE"""),"https://dblp.org/db/conf/ipco/index.html")</f>
        <v>https://dblp.org/db/conf/ipco/index.html</v>
      </c>
    </row>
    <row r="6">
      <c r="A6" s="58" t="str">
        <f>IFERROR(__xludf.DUMMYFUNCTION("""COMPUTED_VALUE"""),"Top 10")</f>
        <v>Top 10</v>
      </c>
      <c r="B6" s="146" t="str">
        <f>IFERROR(__xludf.DUMMYFUNCTION("""COMPUTED_VALUE"""),"ESA")</f>
        <v>ESA</v>
      </c>
      <c r="C6" s="146" t="str">
        <f>IFERROR(__xludf.DUMMYFUNCTION("""COMPUTED_VALUE"""),"European Symposium on Algorithms")</f>
        <v>European Symposium on Algorithms</v>
      </c>
      <c r="D6" s="148">
        <f>IFERROR(__xludf.DUMMYFUNCTION("""COMPUTED_VALUE"""),25.0)</f>
        <v>25</v>
      </c>
      <c r="E6" s="147" t="str">
        <f>IFERROR(__xludf.DUMMYFUNCTION("""COMPUTED_VALUE"""),"https://scholar.google.com/citations?hl=en&amp;view_op=list_hcore&amp;venue=sNtxnFuOq5YJ.2024")</f>
        <v>https://scholar.google.com/citations?hl=en&amp;view_op=list_hcore&amp;venue=sNtxnFuOq5YJ.2024</v>
      </c>
      <c r="F6" s="146"/>
      <c r="G6" s="120"/>
      <c r="I6" s="60" t="str">
        <f>IFERROR(__xludf.DUMMYFUNCTION("""COMPUTED_VALUE"""),"https://dblp.org/db/conf/esa/index.html")</f>
        <v>https://dblp.org/db/conf/esa/index.html</v>
      </c>
    </row>
    <row r="7">
      <c r="A7" s="58" t="str">
        <f>IFERROR(__xludf.DUMMYFUNCTION("""COMPUTED_VALUE"""),"Top 10")</f>
        <v>Top 10</v>
      </c>
      <c r="B7" s="146" t="str">
        <f>IFERROR(__xludf.DUMMYFUNCTION("""COMPUTED_VALUE"""),"FOCS")</f>
        <v>FOCS</v>
      </c>
      <c r="C7" s="146" t="str">
        <f>IFERROR(__xludf.DUMMYFUNCTION("""COMPUTED_VALUE"""),"IEEE Annual Symposium on Foundations of Computer Science")</f>
        <v>IEEE Annual Symposium on Foundations of Computer Science</v>
      </c>
      <c r="D7" s="148">
        <f>IFERROR(__xludf.DUMMYFUNCTION("""COMPUTED_VALUE"""),55.0)</f>
        <v>55</v>
      </c>
      <c r="E7" s="147" t="str">
        <f>IFERROR(__xludf.DUMMYFUNCTION("""COMPUTED_VALUE"""),"https://scholar.google.com/citations?hl=en&amp;view_op=list_hcore&amp;venue=QUcbc1kDDcEJ.2024")</f>
        <v>https://scholar.google.com/citations?hl=en&amp;view_op=list_hcore&amp;venue=QUcbc1kDDcEJ.2024</v>
      </c>
      <c r="F7" s="146"/>
      <c r="G7" s="120"/>
      <c r="I7" s="60" t="str">
        <f>IFERROR(__xludf.DUMMYFUNCTION("""COMPUTED_VALUE"""),"https://dblp.org/db/conf/focs/index.html")</f>
        <v>https://dblp.org/db/conf/focs/index.html</v>
      </c>
    </row>
    <row r="8">
      <c r="A8" s="58" t="str">
        <f>IFERROR(__xludf.DUMMYFUNCTION("""COMPUTED_VALUE"""),"Top 10")</f>
        <v>Top 10</v>
      </c>
      <c r="B8" s="146" t="str">
        <f>IFERROR(__xludf.DUMMYFUNCTION("""COMPUTED_VALUE"""),"ICALP")</f>
        <v>ICALP</v>
      </c>
      <c r="C8" s="146" t="str">
        <f>IFERROR(__xludf.DUMMYFUNCTION("""COMPUTED_VALUE"""),"International Colloquium on Automata, Languages, and Programming")</f>
        <v>International Colloquium on Automata, Languages, and Programming</v>
      </c>
      <c r="D8" s="148">
        <f>IFERROR(__xludf.DUMMYFUNCTION("""COMPUTED_VALUE"""),33.0)</f>
        <v>33</v>
      </c>
      <c r="E8" s="147" t="str">
        <f>IFERROR(__xludf.DUMMYFUNCTION("""COMPUTED_VALUE"""),"https://scholar.google.com/citations?hl=en&amp;view_op=list_hcore&amp;venue=-jyI22RzDikJ.2024")</f>
        <v>https://scholar.google.com/citations?hl=en&amp;view_op=list_hcore&amp;venue=-jyI22RzDikJ.2024</v>
      </c>
      <c r="F8" s="146"/>
      <c r="G8" s="120"/>
      <c r="I8" s="60" t="str">
        <f>IFERROR(__xludf.DUMMYFUNCTION("""COMPUTED_VALUE"""),"https://dblp.org/db/conf/icalp/index.html")</f>
        <v>https://dblp.org/db/conf/icalp/index.html</v>
      </c>
    </row>
    <row r="9">
      <c r="A9" s="58" t="str">
        <f>IFERROR(__xludf.DUMMYFUNCTION("""COMPUTED_VALUE"""),"Top 10")</f>
        <v>Top 10</v>
      </c>
      <c r="B9" s="146" t="str">
        <f>IFERROR(__xludf.DUMMYFUNCTION("""COMPUTED_VALUE"""),"WG")</f>
        <v>WG</v>
      </c>
      <c r="C9" s="146" t="str">
        <f>IFERROR(__xludf.DUMMYFUNCTION("""COMPUTED_VALUE"""),"International Workshop on Graph-Theoretic Concepts in Computer Science")</f>
        <v>International Workshop on Graph-Theoretic Concepts in Computer Science</v>
      </c>
      <c r="D9" s="148">
        <f>IFERROR(__xludf.DUMMYFUNCTION("""COMPUTED_VALUE"""),14.0)</f>
        <v>14</v>
      </c>
      <c r="E9" s="147" t="str">
        <f>IFERROR(__xludf.DUMMYFUNCTION("""COMPUTED_VALUE"""),"https://scholar.google.com/citations?hl=en&amp;view_op=list_hcore&amp;venue=bEdEBGLFMMoJ.2024")</f>
        <v>https://scholar.google.com/citations?hl=en&amp;view_op=list_hcore&amp;venue=bEdEBGLFMMoJ.2024</v>
      </c>
      <c r="F9" s="146"/>
      <c r="G9" s="120"/>
      <c r="I9" s="60" t="str">
        <f>IFERROR(__xludf.DUMMYFUNCTION("""COMPUTED_VALUE"""),"https://dblp.org/db/conf/wg/index.html")</f>
        <v>https://dblp.org/db/conf/wg/index.html</v>
      </c>
    </row>
    <row r="10">
      <c r="A10" s="58" t="str">
        <f>IFERROR(__xludf.DUMMYFUNCTION("""COMPUTED_VALUE"""),"Top 10")</f>
        <v>Top 10</v>
      </c>
      <c r="B10" s="146" t="str">
        <f>IFERROR(__xludf.DUMMYFUNCTION("""COMPUTED_VALUE"""),"LATIN")</f>
        <v>LATIN</v>
      </c>
      <c r="C10" s="146" t="str">
        <f>IFERROR(__xludf.DUMMYFUNCTION("""COMPUTED_VALUE"""),"Latin American Theoretical Informatics Symposium")</f>
        <v>Latin American Theoretical Informatics Symposium</v>
      </c>
      <c r="D10" s="148">
        <f>IFERROR(__xludf.DUMMYFUNCTION("""COMPUTED_VALUE"""),15.0)</f>
        <v>15</v>
      </c>
      <c r="E10" s="147" t="str">
        <f>IFERROR(__xludf.DUMMYFUNCTION("""COMPUTED_VALUE"""),"https://scholar.google.com/citations?hl=en&amp;view_op=list_hcore&amp;venue=OeICmY9lwg4J.2023")</f>
        <v>https://scholar.google.com/citations?hl=en&amp;view_op=list_hcore&amp;venue=OeICmY9lwg4J.2023</v>
      </c>
      <c r="F10" s="146"/>
      <c r="G10" s="146"/>
      <c r="I10" s="60" t="str">
        <f>IFERROR(__xludf.DUMMYFUNCTION("""COMPUTED_VALUE"""),"https://dblp.org/db/conf/latin/index.html")</f>
        <v>https://dblp.org/db/conf/latin/index.html</v>
      </c>
    </row>
    <row r="11">
      <c r="A11" s="58" t="str">
        <f>IFERROR(__xludf.DUMMYFUNCTION("""COMPUTED_VALUE"""),"Top 10")</f>
        <v>Top 10</v>
      </c>
      <c r="B11" s="146" t="str">
        <f>IFERROR(__xludf.DUMMYFUNCTION("""COMPUTED_VALUE"""),"STACS")</f>
        <v>STACS</v>
      </c>
      <c r="C11" s="146" t="str">
        <f>IFERROR(__xludf.DUMMYFUNCTION("""COMPUTED_VALUE"""),"Symposium on Theoretical Aspects of Computer Science")</f>
        <v>Symposium on Theoretical Aspects of Computer Science</v>
      </c>
      <c r="D11" s="148">
        <f>IFERROR(__xludf.DUMMYFUNCTION("""COMPUTED_VALUE"""),20.0)</f>
        <v>20</v>
      </c>
      <c r="E11" s="147" t="str">
        <f>IFERROR(__xludf.DUMMYFUNCTION("""COMPUTED_VALUE"""),"https://scholar.google.com/citations?hl=en&amp;view_op=list_hcore&amp;venue=BmGC50v8VqkJ.2024")</f>
        <v>https://scholar.google.com/citations?hl=en&amp;view_op=list_hcore&amp;venue=BmGC50v8VqkJ.2024</v>
      </c>
      <c r="F11" s="146"/>
      <c r="G11" s="120"/>
      <c r="I11" s="60" t="str">
        <f>IFERROR(__xludf.DUMMYFUNCTION("""COMPUTED_VALUE"""),"https://dblp.org/db/conf/stacs/index.html")</f>
        <v>https://dblp.org/db/conf/stacs/index.html</v>
      </c>
    </row>
    <row r="12">
      <c r="A12" s="65" t="str">
        <f>IFERROR(__xludf.DUMMYFUNCTION("""COMPUTED_VALUE"""),"Top 20")</f>
        <v>Top 20</v>
      </c>
      <c r="B12" s="146" t="str">
        <f>IFERROR(__xludf.DUMMYFUNCTION("""COMPUTED_VALUE"""),"WADS")</f>
        <v>WADS</v>
      </c>
      <c r="C12" s="146" t="str">
        <f>IFERROR(__xludf.DUMMYFUNCTION("""COMPUTED_VALUE"""),"Algorithms and Data Structures Symposium")</f>
        <v>Algorithms and Data Structures Symposium</v>
      </c>
      <c r="D12" s="148">
        <f>IFERROR(__xludf.DUMMYFUNCTION("""COMPUTED_VALUE"""),14.0)</f>
        <v>14</v>
      </c>
      <c r="E12" s="147" t="str">
        <f>IFERROR(__xludf.DUMMYFUNCTION("""COMPUTED_VALUE"""),"https://scholar.google.com/citations?hl=en&amp;view_op=list_hcore&amp;venue=WuJ205lBDckJ.2024")</f>
        <v>https://scholar.google.com/citations?hl=en&amp;view_op=list_hcore&amp;venue=WuJ205lBDckJ.2024</v>
      </c>
      <c r="F12" s="146"/>
      <c r="G12" s="120"/>
      <c r="I12" s="60" t="str">
        <f>IFERROR(__xludf.DUMMYFUNCTION("""COMPUTED_VALUE"""),"https://dblp.org/db/conf/wads/index.html")</f>
        <v>https://dblp.org/db/conf/wads/index.html</v>
      </c>
    </row>
    <row r="13">
      <c r="A13" s="65" t="str">
        <f>IFERROR(__xludf.DUMMYFUNCTION("""COMPUTED_VALUE"""),"Top 20")</f>
        <v>Top 20</v>
      </c>
      <c r="B13" s="146" t="str">
        <f>IFERROR(__xludf.DUMMYFUNCTION("""COMPUTED_VALUE"""),"EUROCOMB")</f>
        <v>EUROCOMB</v>
      </c>
      <c r="C13" s="146" t="str">
        <f>IFERROR(__xludf.DUMMYFUNCTION("""COMPUTED_VALUE"""),"European Conference on Combinatorics, Graph Theory and Applications")</f>
        <v>European Conference on Combinatorics, Graph Theory and Applications</v>
      </c>
      <c r="D13" s="148">
        <f>IFERROR(__xludf.DUMMYFUNCTION("""COMPUTED_VALUE"""),12.0)</f>
        <v>12</v>
      </c>
      <c r="E13" s="147" t="str">
        <f>IFERROR(__xludf.DUMMYFUNCTION("""COMPUTED_VALUE"""),"https://scholar.google.com/citations?hl=en&amp;view_op=list_hcore&amp;venue=wn0aYglh-KMJ.2018")</f>
        <v>https://scholar.google.com/citations?hl=en&amp;view_op=list_hcore&amp;venue=wn0aYglh-KMJ.2018</v>
      </c>
      <c r="F13" s="146"/>
      <c r="G13" s="120"/>
    </row>
    <row r="14">
      <c r="A14" s="65" t="str">
        <f>IFERROR(__xludf.DUMMYFUNCTION("""COMPUTED_VALUE"""),"Top 20")</f>
        <v>Top 20</v>
      </c>
      <c r="B14" s="146" t="str">
        <f>IFERROR(__xludf.DUMMYFUNCTION("""COMPUTED_VALUE"""),"CCC")</f>
        <v>CCC</v>
      </c>
      <c r="C14" s="146" t="str">
        <f>IFERROR(__xludf.DUMMYFUNCTION("""COMPUTED_VALUE"""),"IEEE Conference on Computational Complexity")</f>
        <v>IEEE Conference on Computational Complexity</v>
      </c>
      <c r="D14" s="148">
        <f>IFERROR(__xludf.DUMMYFUNCTION("""COMPUTED_VALUE"""),22.0)</f>
        <v>22</v>
      </c>
      <c r="E14" s="147" t="str">
        <f>IFERROR(__xludf.DUMMYFUNCTION("""COMPUTED_VALUE"""),"https://scholar.google.com/citations?hl=en&amp;view_op=list_hcore&amp;venue=VHvULLS5ORIJ.2024")</f>
        <v>https://scholar.google.com/citations?hl=en&amp;view_op=list_hcore&amp;venue=VHvULLS5ORIJ.2024</v>
      </c>
      <c r="F14" s="146"/>
      <c r="G14" s="120"/>
      <c r="I14" s="60" t="str">
        <f>IFERROR(__xludf.DUMMYFUNCTION("""COMPUTED_VALUE"""),"https://dblp.org/db/conf/coco/index.html")</f>
        <v>https://dblp.org/db/conf/coco/index.html</v>
      </c>
    </row>
    <row r="15">
      <c r="A15" s="65" t="str">
        <f>IFERROR(__xludf.DUMMYFUNCTION("""COMPUTED_VALUE"""),"Top 20")</f>
        <v>Top 20</v>
      </c>
      <c r="B15" s="146" t="str">
        <f>IFERROR(__xludf.DUMMYFUNCTION("""COMPUTED_VALUE"""),"APPROX-RANDOM")</f>
        <v>APPROX-RANDOM</v>
      </c>
      <c r="C15" s="146" t="str">
        <f>IFERROR(__xludf.DUMMYFUNCTION("""COMPUTED_VALUE"""),"International Conference on Approximation Algorithms for Combinatorial Optimization Problems")</f>
        <v>International Conference on Approximation Algorithms for Combinatorial Optimization Problems</v>
      </c>
      <c r="D15" s="148">
        <f>IFERROR(__xludf.DUMMYFUNCTION("""COMPUTED_VALUE"""),18.0)</f>
        <v>18</v>
      </c>
      <c r="E15" s="147" t="str">
        <f>IFERROR(__xludf.DUMMYFUNCTION("""COMPUTED_VALUE"""),"https://scholar.google.com/citations?hl=en&amp;view_op=list_hcore&amp;venue=M9oM2PGejDoJ.2024")</f>
        <v>https://scholar.google.com/citations?hl=en&amp;view_op=list_hcore&amp;venue=M9oM2PGejDoJ.2024</v>
      </c>
      <c r="F15" s="146"/>
      <c r="G15" s="146"/>
      <c r="I15" s="60" t="str">
        <f>IFERROR(__xludf.DUMMYFUNCTION("""COMPUTED_VALUE"""),"https://dblp.org/db/conf/random/index.html")</f>
        <v>https://dblp.org/db/conf/random/index.html</v>
      </c>
    </row>
    <row r="16">
      <c r="A16" s="65" t="str">
        <f>IFERROR(__xludf.DUMMYFUNCTION("""COMPUTED_VALUE"""),"Top 20")</f>
        <v>Top 20</v>
      </c>
      <c r="B16" s="146" t="str">
        <f>IFERROR(__xludf.DUMMYFUNCTION("""COMPUTED_VALUE"""),"CP")</f>
        <v>CP</v>
      </c>
      <c r="C16" s="146" t="str">
        <f>IFERROR(__xludf.DUMMYFUNCTION("""COMPUTED_VALUE"""),"International Conference on Principles and Practice of Constraint Programming")</f>
        <v>International Conference on Principles and Practice of Constraint Programming</v>
      </c>
      <c r="D16" s="148">
        <f>IFERROR(__xludf.DUMMYFUNCTION("""COMPUTED_VALUE"""),20.0)</f>
        <v>20</v>
      </c>
      <c r="E16" s="147" t="str">
        <f>IFERROR(__xludf.DUMMYFUNCTION("""COMPUTED_VALUE"""),"https://scholar.google.com/citations?hl=en&amp;view_op=list_hcore&amp;venue=S648KV_osZMJ.2024")</f>
        <v>https://scholar.google.com/citations?hl=en&amp;view_op=list_hcore&amp;venue=S648KV_osZMJ.2024</v>
      </c>
      <c r="F16" s="146"/>
      <c r="G16" s="146"/>
      <c r="I16" s="60" t="str">
        <f>IFERROR(__xludf.DUMMYFUNCTION("""COMPUTED_VALUE"""),"https://dblp.org/db/conf/cp/index.html")</f>
        <v>https://dblp.org/db/conf/cp/index.html</v>
      </c>
    </row>
    <row r="17">
      <c r="A17" s="65" t="str">
        <f>IFERROR(__xludf.DUMMYFUNCTION("""COMPUTED_VALUE"""),"Top 20")</f>
        <v>Top 20</v>
      </c>
      <c r="B17" s="146" t="str">
        <f>IFERROR(__xludf.DUMMYFUNCTION("""COMPUTED_VALUE"""),"ISAAC")</f>
        <v>ISAAC</v>
      </c>
      <c r="C17" s="146" t="str">
        <f>IFERROR(__xludf.DUMMYFUNCTION("""COMPUTED_VALUE"""),"International Symposium on Algorithms and Computation")</f>
        <v>International Symposium on Algorithms and Computation</v>
      </c>
      <c r="D17" s="148">
        <f>IFERROR(__xludf.DUMMYFUNCTION("""COMPUTED_VALUE"""),15.0)</f>
        <v>15</v>
      </c>
      <c r="E17" s="147" t="str">
        <f>IFERROR(__xludf.DUMMYFUNCTION("""COMPUTED_VALUE"""),"https://scholar.google.com/citations?hl=en&amp;view_op=list_hcore&amp;venue=REeNFlEptmgJ.2024")</f>
        <v>https://scholar.google.com/citations?hl=en&amp;view_op=list_hcore&amp;venue=REeNFlEptmgJ.2024</v>
      </c>
      <c r="F17" s="146"/>
      <c r="G17" s="120"/>
      <c r="I17" s="60" t="str">
        <f>IFERROR(__xludf.DUMMYFUNCTION("""COMPUTED_VALUE"""),"https://dblp.org/db/conf/isaac/index.html")</f>
        <v>https://dblp.org/db/conf/isaac/index.html</v>
      </c>
    </row>
    <row r="18">
      <c r="A18" s="65" t="str">
        <f>IFERROR(__xludf.DUMMYFUNCTION("""COMPUTED_VALUE"""),"Top 20")</f>
        <v>Top 20</v>
      </c>
      <c r="B18" s="146" t="str">
        <f>IFERROR(__xludf.DUMMYFUNCTION("""COMPUTED_VALUE"""),"SEA")</f>
        <v>SEA</v>
      </c>
      <c r="C18" s="146" t="str">
        <f>IFERROR(__xludf.DUMMYFUNCTION("""COMPUTED_VALUE"""),"International Symposium on Experimental Algorithms")</f>
        <v>International Symposium on Experimental Algorithms</v>
      </c>
      <c r="D18" s="148">
        <f>IFERROR(__xludf.DUMMYFUNCTION("""COMPUTED_VALUE"""),9.0)</f>
        <v>9</v>
      </c>
      <c r="E18" s="147" t="str">
        <f>IFERROR(__xludf.DUMMYFUNCTION("""COMPUTED_VALUE"""),"https://scholar.google.com/citations?hl=en&amp;view_op=list_hcore&amp;venue=5mM2zjnIDtwJ.2024")</f>
        <v>https://scholar.google.com/citations?hl=en&amp;view_op=list_hcore&amp;venue=5mM2zjnIDtwJ.2024</v>
      </c>
      <c r="F18" s="146"/>
      <c r="G18" s="120"/>
      <c r="I18" s="60" t="str">
        <f>IFERROR(__xludf.DUMMYFUNCTION("""COMPUTED_VALUE"""),"https://dblp.org/db/conf/wea/index.html")</f>
        <v>https://dblp.org/db/conf/wea/index.html</v>
      </c>
    </row>
    <row r="19">
      <c r="A19" s="65" t="str">
        <f>IFERROR(__xludf.DUMMYFUNCTION("""COMPUTED_VALUE"""),"Top 20")</f>
        <v>Top 20</v>
      </c>
      <c r="B19" s="146" t="str">
        <f>IFERROR(__xludf.DUMMYFUNCTION("""COMPUTED_VALUE"""),"MFCS")</f>
        <v>MFCS</v>
      </c>
      <c r="C19" s="146" t="str">
        <f>IFERROR(__xludf.DUMMYFUNCTION("""COMPUTED_VALUE"""),"International Symposium on Mathematical Foundations of Computer Science")</f>
        <v>International Symposium on Mathematical Foundations of Computer Science</v>
      </c>
      <c r="D19" s="148">
        <f>IFERROR(__xludf.DUMMYFUNCTION("""COMPUTED_VALUE"""),19.0)</f>
        <v>19</v>
      </c>
      <c r="E19" s="147" t="str">
        <f>IFERROR(__xludf.DUMMYFUNCTION("""COMPUTED_VALUE"""),"https://scholar.google.com/citations?hl=en&amp;view_op=list_hcore&amp;venue=b7Wt8oz6uqAJ.2024")</f>
        <v>https://scholar.google.com/citations?hl=en&amp;view_op=list_hcore&amp;venue=b7Wt8oz6uqAJ.2024</v>
      </c>
      <c r="F19" s="146"/>
      <c r="G19" s="120"/>
      <c r="I19" s="60" t="str">
        <f>IFERROR(__xludf.DUMMYFUNCTION("""COMPUTED_VALUE"""),"https://dblp.org/db/conf/mfcs/index.html")</f>
        <v>https://dblp.org/db/conf/mfcs/index.html</v>
      </c>
    </row>
    <row r="20">
      <c r="A20" s="65" t="str">
        <f>IFERROR(__xludf.DUMMYFUNCTION("""COMPUTED_VALUE"""),"Top 20")</f>
        <v>Top 20</v>
      </c>
      <c r="B20" s="146" t="str">
        <f>IFERROR(__xludf.DUMMYFUNCTION("""COMPUTED_VALUE"""),"IPEC")</f>
        <v>IPEC</v>
      </c>
      <c r="C20" s="146" t="str">
        <f>IFERROR(__xludf.DUMMYFUNCTION("""COMPUTED_VALUE"""),"International Symposium on Parameterized and Exact Computation")</f>
        <v>International Symposium on Parameterized and Exact Computation</v>
      </c>
      <c r="D20" s="148">
        <f>IFERROR(__xludf.DUMMYFUNCTION("""COMPUTED_VALUE"""),17.0)</f>
        <v>17</v>
      </c>
      <c r="E20" s="147" t="str">
        <f>IFERROR(__xludf.DUMMYFUNCTION("""COMPUTED_VALUE"""),"https://scholar.google.com/citations?hl=en&amp;view_op=list_hcore&amp;venue=omO5C9pkf-8J.2024")</f>
        <v>https://scholar.google.com/citations?hl=en&amp;view_op=list_hcore&amp;venue=omO5C9pkf-8J.2024</v>
      </c>
      <c r="F20" s="146"/>
      <c r="G20" s="120"/>
      <c r="I20" s="60" t="str">
        <f>IFERROR(__xludf.DUMMYFUNCTION("""COMPUTED_VALUE"""),"https://dblp.org/db/conf/iwpec/index.html")</f>
        <v>https://dblp.org/db/conf/iwpec/index.html</v>
      </c>
    </row>
    <row r="21">
      <c r="A21" s="65" t="str">
        <f>IFERROR(__xludf.DUMMYFUNCTION("""COMPUTED_VALUE"""),"Top 20")</f>
        <v>Top 20</v>
      </c>
      <c r="B21" s="146" t="str">
        <f>IFERROR(__xludf.DUMMYFUNCTION("""COMPUTED_VALUE"""),"SoCG")</f>
        <v>SoCG</v>
      </c>
      <c r="C21" s="146" t="str">
        <f>IFERROR(__xludf.DUMMYFUNCTION("""COMPUTED_VALUE"""),"International Symposium on Computational Geometry")</f>
        <v>International Symposium on Computational Geometry</v>
      </c>
      <c r="D21" s="148">
        <f>IFERROR(__xludf.DUMMYFUNCTION("""COMPUTED_VALUE"""),22.0)</f>
        <v>22</v>
      </c>
      <c r="E21" s="147" t="str">
        <f>IFERROR(__xludf.DUMMYFUNCTION("""COMPUTED_VALUE"""),"https://scholar.google.com/citations?hl=en&amp;view_op=list_hcore&amp;venue=MGCukPJHrn0J.2024")</f>
        <v>https://scholar.google.com/citations?hl=en&amp;view_op=list_hcore&amp;venue=MGCukPJHrn0J.2024</v>
      </c>
      <c r="F21" s="146"/>
      <c r="G21" s="120"/>
      <c r="I21" s="60" t="str">
        <f>IFERROR(__xludf.DUMMYFUNCTION("""COMPUTED_VALUE"""),"https://dblp.org/db/conf/compgeom/index.html")</f>
        <v>https://dblp.org/db/conf/compgeom/index.html</v>
      </c>
    </row>
    <row r="22">
      <c r="A22" s="68" t="str">
        <f>IFERROR(__xludf.DUMMYFUNCTION("""COMPUTED_VALUE"""),"Eventos da Área")</f>
        <v>Eventos da Área</v>
      </c>
      <c r="B22" s="146" t="str">
        <f>IFERROR(__xludf.DUMMYFUNCTION("""COMPUTED_VALUE"""),"CTW")</f>
        <v>CTW</v>
      </c>
      <c r="C22" s="146" t="str">
        <f>IFERROR(__xludf.DUMMYFUNCTION("""COMPUTED_VALUE"""),"Cologne-Twente Workshop on Graphs and Combinatorial Optimization")</f>
        <v>Cologne-Twente Workshop on Graphs and Combinatorial Optimization</v>
      </c>
      <c r="D22" s="148"/>
      <c r="E22" s="147"/>
      <c r="F22" s="146"/>
      <c r="G22" s="120"/>
      <c r="I22" s="60" t="str">
        <f>IFERROR(__xludf.DUMMYFUNCTION("""COMPUTED_VALUE"""),"https://dblp.org/db/conf/colognetwente/index.html")</f>
        <v>https://dblp.org/db/conf/colognetwente/index.html</v>
      </c>
    </row>
    <row r="23">
      <c r="A23" s="68" t="str">
        <f>IFERROR(__xludf.DUMMYFUNCTION("""COMPUTED_VALUE"""),"Eventos da Área")</f>
        <v>Eventos da Área</v>
      </c>
      <c r="B23" s="146" t="str">
        <f>IFERROR(__xludf.DUMMYFUNCTION("""COMPUTED_VALUE"""),"CNMAC")</f>
        <v>CNMAC</v>
      </c>
      <c r="C23" s="146" t="str">
        <f>IFERROR(__xludf.DUMMYFUNCTION("""COMPUTED_VALUE"""),"Congresso Nacional de Matemática Aplicada e Computacional")</f>
        <v>Congresso Nacional de Matemática Aplicada e Computacional</v>
      </c>
      <c r="D23" s="120"/>
      <c r="E23" s="147"/>
      <c r="F23" s="146"/>
      <c r="G23" s="146"/>
    </row>
    <row r="24">
      <c r="A24" s="68" t="str">
        <f>IFERROR(__xludf.DUMMYFUNCTION("""COMPUTED_VALUE"""),"Eventos da Área")</f>
        <v>Eventos da Área</v>
      </c>
      <c r="B24" s="146" t="str">
        <f>IFERROR(__xludf.DUMMYFUNCTION("""COMPUTED_VALUE"""),"ETC")</f>
        <v>ETC</v>
      </c>
      <c r="C24" s="146" t="str">
        <f>IFERROR(__xludf.DUMMYFUNCTION("""COMPUTED_VALUE"""),"Encontro de Teoria da Computação")</f>
        <v>Encontro de Teoria da Computação</v>
      </c>
      <c r="D24" s="120">
        <f>IFERROR(__xludf.DUMMYFUNCTION("""COMPUTED_VALUE"""),2.0)</f>
        <v>2</v>
      </c>
      <c r="E24" s="147" t="str">
        <f>IFERROR(__xludf.DUMMYFUNCTION("""COMPUTED_VALUE"""),"https://scholar.google.com/citations?hl=en&amp;view_op=list_hcore&amp;venue=S-FAvH1rAgcJ.2024")</f>
        <v>https://scholar.google.com/citations?hl=en&amp;view_op=list_hcore&amp;venue=S-FAvH1rAgcJ.2024</v>
      </c>
      <c r="F24" s="146"/>
      <c r="G24" s="146"/>
      <c r="J24" s="60" t="str">
        <f>IFERROR(__xludf.DUMMYFUNCTION("""COMPUTED_VALUE"""),"https://sol.sbc.org.br/index.php/etc")</f>
        <v>https://sol.sbc.org.br/index.php/etc</v>
      </c>
    </row>
    <row r="25">
      <c r="A25" s="68" t="str">
        <f>IFERROR(__xludf.DUMMYFUNCTION("""COMPUTED_VALUE"""),"Eventos da Área")</f>
        <v>Eventos da Área</v>
      </c>
      <c r="B25" s="146" t="str">
        <f>IFERROR(__xludf.DUMMYFUNCTION("""COMPUTED_VALUE"""),"ECCO")</f>
        <v>ECCO</v>
      </c>
      <c r="C25" s="146" t="str">
        <f>IFERROR(__xludf.DUMMYFUNCTION("""COMPUTED_VALUE"""),"European Chapter on Combinatorial Optimization")</f>
        <v>European Chapter on Combinatorial Optimization</v>
      </c>
      <c r="D25" s="120"/>
      <c r="E25" s="147"/>
      <c r="F25" s="146"/>
      <c r="G25" s="146"/>
    </row>
    <row r="26">
      <c r="A26" s="68" t="str">
        <f>IFERROR(__xludf.DUMMYFUNCTION("""COMPUTED_VALUE"""),"Eventos da Área")</f>
        <v>Eventos da Área</v>
      </c>
      <c r="B26" s="146" t="str">
        <f>IFERROR(__xludf.DUMMYFUNCTION("""COMPUTED_VALUE"""),"FSTTCS")</f>
        <v>FSTTCS</v>
      </c>
      <c r="C26" s="146" t="str">
        <f>IFERROR(__xludf.DUMMYFUNCTION("""COMPUTED_VALUE"""),"Foundations of Software Technology and Theoretical Computer Science")</f>
        <v>Foundations of Software Technology and Theoretical Computer Science</v>
      </c>
      <c r="D26" s="148">
        <f>IFERROR(__xludf.DUMMYFUNCTION("""COMPUTED_VALUE"""),11.0)</f>
        <v>11</v>
      </c>
      <c r="E26" s="147" t="str">
        <f>IFERROR(__xludf.DUMMYFUNCTION("""COMPUTED_VALUE"""),"https://scholar.google.com/citations?hl=en&amp;view_op=list_hcore&amp;venue=z6eJxmwe_DYJ.2024")</f>
        <v>https://scholar.google.com/citations?hl=en&amp;view_op=list_hcore&amp;venue=z6eJxmwe_DYJ.2024</v>
      </c>
      <c r="F26" s="146"/>
      <c r="G26" s="146"/>
      <c r="I26" s="60" t="str">
        <f>IFERROR(__xludf.DUMMYFUNCTION("""COMPUTED_VALUE"""),"https://dblp.org/db/conf/fsttcs/index.html")</f>
        <v>https://dblp.org/db/conf/fsttcs/index.html</v>
      </c>
    </row>
    <row r="27">
      <c r="A27" s="68" t="str">
        <f>IFERROR(__xludf.DUMMYFUNCTION("""COMPUTED_VALUE"""),"Eventos da Área")</f>
        <v>Eventos da Área</v>
      </c>
      <c r="B27" s="146" t="str">
        <f>IFERROR(__xludf.DUMMYFUNCTION("""COMPUTED_VALUE"""),"COCOON")</f>
        <v>COCOON</v>
      </c>
      <c r="C27" s="146" t="str">
        <f>IFERROR(__xludf.DUMMYFUNCTION("""COMPUTED_VALUE"""),"International Computing and Combinatorics Conference")</f>
        <v>International Computing and Combinatorics Conference</v>
      </c>
      <c r="D27" s="120">
        <f>IFERROR(__xludf.DUMMYFUNCTION("""COMPUTED_VALUE"""),9.0)</f>
        <v>9</v>
      </c>
      <c r="E27" s="147" t="str">
        <f>IFERROR(__xludf.DUMMYFUNCTION("""COMPUTED_VALUE"""),"https://scholar.google.com/citations?hl=en&amp;view_op=list_hcore&amp;venue=nuQnbkFkrG0J.2024")</f>
        <v>https://scholar.google.com/citations?hl=en&amp;view_op=list_hcore&amp;venue=nuQnbkFkrG0J.2024</v>
      </c>
      <c r="F27" s="146"/>
      <c r="G27" s="120"/>
      <c r="I27" s="60" t="str">
        <f>IFERROR(__xludf.DUMMYFUNCTION("""COMPUTED_VALUE"""),"https://dblp.org/db/conf/cocoon/index.html")</f>
        <v>https://dblp.org/db/conf/cocoon/index.html</v>
      </c>
    </row>
    <row r="28">
      <c r="A28" s="68" t="str">
        <f>IFERROR(__xludf.DUMMYFUNCTION("""COMPUTED_VALUE"""),"Eventos da Área")</f>
        <v>Eventos da Área</v>
      </c>
      <c r="B28" t="str">
        <f>IFERROR(__xludf.DUMMYFUNCTION("""COMPUTED_VALUE"""),"CIAC")</f>
        <v>CIAC</v>
      </c>
      <c r="C28" t="str">
        <f>IFERROR(__xludf.DUMMYFUNCTION("""COMPUTED_VALUE"""),"International Conference on Algorithms and Complexity")</f>
        <v>International Conference on Algorithms and Complexity</v>
      </c>
      <c r="D28">
        <f>IFERROR(__xludf.DUMMYFUNCTION("""COMPUTED_VALUE"""),11.0)</f>
        <v>11</v>
      </c>
      <c r="E28" s="147" t="str">
        <f>IFERROR(__xludf.DUMMYFUNCTION("""COMPUTED_VALUE"""),"https://scholar.google.com/citations?hl=en&amp;view_op=list_hcore&amp;venue=3cSHcC5AA7QJ.2020")</f>
        <v>https://scholar.google.com/citations?hl=en&amp;view_op=list_hcore&amp;venue=3cSHcC5AA7QJ.2020</v>
      </c>
      <c r="I28" s="60" t="str">
        <f>IFERROR(__xludf.DUMMYFUNCTION("""COMPUTED_VALUE"""),"https://dblp.org/db/conf/ciac/index.html")</f>
        <v>https://dblp.org/db/conf/ciac/index.html</v>
      </c>
    </row>
    <row r="29">
      <c r="A29" s="68" t="str">
        <f>IFERROR(__xludf.DUMMYFUNCTION("""COMPUTED_VALUE"""),"Eventos da Área")</f>
        <v>Eventos da Área</v>
      </c>
      <c r="B29" t="str">
        <f>IFERROR(__xludf.DUMMYFUNCTION("""COMPUTED_VALUE"""),"CALDAM")</f>
        <v>CALDAM</v>
      </c>
      <c r="C29" t="str">
        <f>IFERROR(__xludf.DUMMYFUNCTION("""COMPUTED_VALUE"""),"International Conference on Algorithms and Discrete Applied Mathematics")</f>
        <v>International Conference on Algorithms and Discrete Applied Mathematics</v>
      </c>
      <c r="D29">
        <f>IFERROR(__xludf.DUMMYFUNCTION("""COMPUTED_VALUE"""),10.0)</f>
        <v>10</v>
      </c>
      <c r="E29" s="147" t="str">
        <f>IFERROR(__xludf.DUMMYFUNCTION("""COMPUTED_VALUE"""),"https://scholar.google.com/citations?hl=en&amp;view_op=list_hcore&amp;venue=oMZjQ-X5R1EJ.2024")</f>
        <v>https://scholar.google.com/citations?hl=en&amp;view_op=list_hcore&amp;venue=oMZjQ-X5R1EJ.2024</v>
      </c>
      <c r="I29" s="60" t="str">
        <f>IFERROR(__xludf.DUMMYFUNCTION("""COMPUTED_VALUE"""),"https://dblp.org/db/conf/caldam/index.html")</f>
        <v>https://dblp.org/db/conf/caldam/index.html</v>
      </c>
    </row>
    <row r="30">
      <c r="A30" s="68" t="str">
        <f>IFERROR(__xludf.DUMMYFUNCTION("""COMPUTED_VALUE"""),"Eventos da Área")</f>
        <v>Eventos da Área</v>
      </c>
      <c r="B30" t="str">
        <f>IFERROR(__xludf.DUMMYFUNCTION("""COMPUTED_VALUE"""),"COCOA")</f>
        <v>COCOA</v>
      </c>
      <c r="C30" t="str">
        <f>IFERROR(__xludf.DUMMYFUNCTION("""COMPUTED_VALUE"""),"International Conference on Combinatorial Optimization and Applications")</f>
        <v>International Conference on Combinatorial Optimization and Applications</v>
      </c>
      <c r="D30">
        <f>IFERROR(__xludf.DUMMYFUNCTION("""COMPUTED_VALUE"""),9.0)</f>
        <v>9</v>
      </c>
      <c r="E30" s="147" t="str">
        <f>IFERROR(__xludf.DUMMYFUNCTION("""COMPUTED_VALUE"""),"https://scholar.google.com/citations?hl=en&amp;view_op=list_hcore&amp;venue=xFmuhcLxNaUJ.2024")</f>
        <v>https://scholar.google.com/citations?hl=en&amp;view_op=list_hcore&amp;venue=xFmuhcLxNaUJ.2024</v>
      </c>
      <c r="I30" s="60" t="str">
        <f>IFERROR(__xludf.DUMMYFUNCTION("""COMPUTED_VALUE"""),"https://dblp.org/db/conf/cocoa/index.html")</f>
        <v>https://dblp.org/db/conf/cocoa/index.html</v>
      </c>
    </row>
    <row r="31">
      <c r="A31" s="68" t="str">
        <f>IFERROR(__xludf.DUMMYFUNCTION("""COMPUTED_VALUE"""),"Eventos da Área")</f>
        <v>Eventos da Área</v>
      </c>
      <c r="B31" t="str">
        <f>IFERROR(__xludf.DUMMYFUNCTION("""COMPUTED_VALUE"""),"SOFSEM")</f>
        <v>SOFSEM</v>
      </c>
      <c r="C31" t="str">
        <f>IFERROR(__xludf.DUMMYFUNCTION("""COMPUTED_VALUE"""),"International Conference on Current Trends in Theory and Practice of Computer Science")</f>
        <v>International Conference on Current Trends in Theory and Practice of Computer Science</v>
      </c>
      <c r="E31" s="147"/>
      <c r="I31" s="60" t="str">
        <f>IFERROR(__xludf.DUMMYFUNCTION("""COMPUTED_VALUE"""),"https://dblp.org/db/conf/sofsem/index.html")</f>
        <v>https://dblp.org/db/conf/sofsem/index.html</v>
      </c>
    </row>
    <row r="32">
      <c r="A32" s="68" t="str">
        <f>IFERROR(__xludf.DUMMYFUNCTION("""COMPUTED_VALUE"""),"Eventos da Área")</f>
        <v>Eventos da Área</v>
      </c>
      <c r="B32" t="str">
        <f>IFERROR(__xludf.DUMMYFUNCTION("""COMPUTED_VALUE"""),"FUN")</f>
        <v>FUN</v>
      </c>
      <c r="C32" t="str">
        <f>IFERROR(__xludf.DUMMYFUNCTION("""COMPUTED_VALUE"""),"International Conference on Fun with Algorithms")</f>
        <v>International Conference on Fun with Algorithms</v>
      </c>
      <c r="E32" s="147"/>
      <c r="I32" s="60" t="str">
        <f>IFERROR(__xludf.DUMMYFUNCTION("""COMPUTED_VALUE"""),"https://dblp.org/db/conf/fun/index.html")</f>
        <v>https://dblp.org/db/conf/fun/index.html</v>
      </c>
    </row>
    <row r="33">
      <c r="A33" s="68" t="str">
        <f>IFERROR(__xludf.DUMMYFUNCTION("""COMPUTED_VALUE"""),"Eventos da Área")</f>
        <v>Eventos da Área</v>
      </c>
      <c r="B33" t="str">
        <f>IFERROR(__xludf.DUMMYFUNCTION("""COMPUTED_VALUE"""),"ICGT")</f>
        <v>ICGT</v>
      </c>
      <c r="C33" t="str">
        <f>IFERROR(__xludf.DUMMYFUNCTION("""COMPUTED_VALUE"""),"International Conference on Graph Transformation")</f>
        <v>International Conference on Graph Transformation</v>
      </c>
      <c r="E33" s="147"/>
      <c r="I33" s="60" t="str">
        <f>IFERROR(__xludf.DUMMYFUNCTION("""COMPUTED_VALUE"""),"https://dblp.org/db/conf/gg/index.html")</f>
        <v>https://dblp.org/db/conf/gg/index.html</v>
      </c>
    </row>
    <row r="34">
      <c r="A34" s="68" t="str">
        <f>IFERROR(__xludf.DUMMYFUNCTION("""COMPUTED_VALUE"""),"Eventos da Área")</f>
        <v>Eventos da Área</v>
      </c>
      <c r="B34" t="str">
        <f>IFERROR(__xludf.DUMMYFUNCTION("""COMPUTED_VALUE"""),"CPAIOR")</f>
        <v>CPAIOR</v>
      </c>
      <c r="C34" t="str">
        <f>IFERROR(__xludf.DUMMYFUNCTION("""COMPUTED_VALUE"""),"International Conference on Integration of Constraint Programming, Artificial Intelligence, and Operations Research")</f>
        <v>International Conference on Integration of Constraint Programming, Artificial Intelligence, and Operations Research</v>
      </c>
      <c r="E34" s="147"/>
      <c r="I34" s="60" t="str">
        <f>IFERROR(__xludf.DUMMYFUNCTION("""COMPUTED_VALUE"""),"https://dblp.org/db/conf/cpaior/index.html")</f>
        <v>https://dblp.org/db/conf/cpaior/index.html</v>
      </c>
    </row>
    <row r="35">
      <c r="A35" s="68" t="str">
        <f>IFERROR(__xludf.DUMMYFUNCTION("""COMPUTED_VALUE"""),"Eventos da Área")</f>
        <v>Eventos da Área</v>
      </c>
      <c r="B35" t="str">
        <f>IFERROR(__xludf.DUMMYFUNCTION("""COMPUTED_VALUE"""),"AofA")</f>
        <v>AofA</v>
      </c>
      <c r="C35" t="str">
        <f>IFERROR(__xludf.DUMMYFUNCTION("""COMPUTED_VALUE"""),"International Conference on Probabilistic, Combinatorial, and Asymptotic Methods in the Analysis of Algorithms")</f>
        <v>International Conference on Probabilistic, Combinatorial, and Asymptotic Methods in the Analysis of Algorithms</v>
      </c>
      <c r="E35" s="147"/>
      <c r="I35" s="60" t="str">
        <f>IFERROR(__xludf.DUMMYFUNCTION("""COMPUTED_VALUE"""),"https://dblp.org/db/conf/aofa/index.html")</f>
        <v>https://dblp.org/db/conf/aofa/index.html</v>
      </c>
    </row>
    <row r="36">
      <c r="A36" s="68" t="str">
        <f>IFERROR(__xludf.DUMMYFUNCTION("""COMPUTED_VALUE"""),"Eventos da Área")</f>
        <v>Eventos da Área</v>
      </c>
      <c r="B36" t="str">
        <f>IFERROR(__xludf.DUMMYFUNCTION("""COMPUTED_VALUE"""),"INOC")</f>
        <v>INOC</v>
      </c>
      <c r="C36" t="str">
        <f>IFERROR(__xludf.DUMMYFUNCTION("""COMPUTED_VALUE"""),"International Network Optimization Conference")</f>
        <v>International Network Optimization Conference</v>
      </c>
      <c r="E36" s="147"/>
      <c r="I36" s="60" t="str">
        <f>IFERROR(__xludf.DUMMYFUNCTION("""COMPUTED_VALUE"""),"https://dblp.org/db/conf/inoc/index.html")</f>
        <v>https://dblp.org/db/conf/inoc/index.html</v>
      </c>
    </row>
    <row r="37">
      <c r="A37" s="68" t="str">
        <f>IFERROR(__xludf.DUMMYFUNCTION("""COMPUTED_VALUE"""),"Eventos da Área")</f>
        <v>Eventos da Área</v>
      </c>
      <c r="B37" t="str">
        <f>IFERROR(__xludf.DUMMYFUNCTION("""COMPUTED_VALUE"""),"ISCO")</f>
        <v>ISCO</v>
      </c>
      <c r="C37" t="str">
        <f>IFERROR(__xludf.DUMMYFUNCTION("""COMPUTED_VALUE"""),"International Symposium on Combinatorial Optimization")</f>
        <v>International Symposium on Combinatorial Optimization</v>
      </c>
      <c r="D37">
        <f>IFERROR(__xludf.DUMMYFUNCTION("""COMPUTED_VALUE"""),8.0)</f>
        <v>8</v>
      </c>
      <c r="E37" s="147" t="str">
        <f>IFERROR(__xludf.DUMMYFUNCTION("""COMPUTED_VALUE"""),"https://scholar.google.com/citations?hl=en&amp;view_op=list_hcore&amp;venue=_nw1GAGIGkEJ.2019")</f>
        <v>https://scholar.google.com/citations?hl=en&amp;view_op=list_hcore&amp;venue=_nw1GAGIGkEJ.2019</v>
      </c>
      <c r="I37" s="60" t="str">
        <f>IFERROR(__xludf.DUMMYFUNCTION("""COMPUTED_VALUE"""),"https://dblp.org/db/conf/isco/index.html")</f>
        <v>https://dblp.org/db/conf/isco/index.html</v>
      </c>
    </row>
    <row r="38">
      <c r="A38" s="68" t="str">
        <f>IFERROR(__xludf.DUMMYFUNCTION("""COMPUTED_VALUE"""),"Eventos da Área")</f>
        <v>Eventos da Área</v>
      </c>
      <c r="B38" t="str">
        <f>IFERROR(__xludf.DUMMYFUNCTION("""COMPUTED_VALUE"""),"FCT")</f>
        <v>FCT</v>
      </c>
      <c r="C38" t="str">
        <f>IFERROR(__xludf.DUMMYFUNCTION("""COMPUTED_VALUE"""),"International Symposium on Fundamentals of Computation Theory")</f>
        <v>International Symposium on Fundamentals of Computation Theory</v>
      </c>
      <c r="E38" s="147"/>
      <c r="I38" s="60" t="str">
        <f>IFERROR(__xludf.DUMMYFUNCTION("""COMPUTED_VALUE"""),"https://dblp.org/db/conf/fct/index.html")</f>
        <v>https://dblp.org/db/conf/fct/index.html</v>
      </c>
    </row>
    <row r="39">
      <c r="A39" s="68" t="str">
        <f>IFERROR(__xludf.DUMMYFUNCTION("""COMPUTED_VALUE"""),"Eventos da Área")</f>
        <v>Eventos da Área</v>
      </c>
      <c r="B39" t="str">
        <f>IFERROR(__xludf.DUMMYFUNCTION("""COMPUTED_VALUE"""),"GD")</f>
        <v>GD</v>
      </c>
      <c r="C39" t="str">
        <f>IFERROR(__xludf.DUMMYFUNCTION("""COMPUTED_VALUE"""),"International Symposium on Graph Drawing and Network Visualization")</f>
        <v>International Symposium on Graph Drawing and Network Visualization</v>
      </c>
      <c r="D39">
        <f>IFERROR(__xludf.DUMMYFUNCTION("""COMPUTED_VALUE"""),13.0)</f>
        <v>13</v>
      </c>
      <c r="E39" s="147" t="str">
        <f>IFERROR(__xludf.DUMMYFUNCTION("""COMPUTED_VALUE"""),"https://scholar.google.com/citations?hl=en&amp;view_op=list_hcore&amp;venue=o7z9dxAgNj0J.2024")</f>
        <v>https://scholar.google.com/citations?hl=en&amp;view_op=list_hcore&amp;venue=o7z9dxAgNj0J.2024</v>
      </c>
      <c r="I39" s="60" t="str">
        <f>IFERROR(__xludf.DUMMYFUNCTION("""COMPUTED_VALUE"""),"https://dblp.org/db/conf/gd/index.html")</f>
        <v>https://dblp.org/db/conf/gd/index.html</v>
      </c>
    </row>
    <row r="40">
      <c r="A40" s="68" t="str">
        <f>IFERROR(__xludf.DUMMYFUNCTION("""COMPUTED_VALUE"""),"Eventos da Área")</f>
        <v>Eventos da Área</v>
      </c>
      <c r="B40" t="str">
        <f>IFERROR(__xludf.DUMMYFUNCTION("""COMPUTED_VALUE"""),"ISMP")</f>
        <v>ISMP</v>
      </c>
      <c r="C40" t="str">
        <f>IFERROR(__xludf.DUMMYFUNCTION("""COMPUTED_VALUE"""),"International Symposium on Mathematical Programming")</f>
        <v>International Symposium on Mathematical Programming</v>
      </c>
      <c r="E40" s="147"/>
      <c r="I40" s="60" t="str">
        <f>IFERROR(__xludf.DUMMYFUNCTION("""COMPUTED_VALUE"""),"https://dblp.org/db/conf/ismp/index.html")</f>
        <v>https://dblp.org/db/conf/ismp/index.html</v>
      </c>
    </row>
    <row r="41">
      <c r="A41" s="68" t="str">
        <f>IFERROR(__xludf.DUMMYFUNCTION("""COMPUTED_VALUE"""),"Eventos da Área")</f>
        <v>Eventos da Área</v>
      </c>
      <c r="B41" t="str">
        <f>IFERROR(__xludf.DUMMYFUNCTION("""COMPUTED_VALUE"""),"WALCOM")</f>
        <v>WALCOM</v>
      </c>
      <c r="C41" t="str">
        <f>IFERROR(__xludf.DUMMYFUNCTION("""COMPUTED_VALUE"""),"International Workshop on Algorithms and Computation")</f>
        <v>International Workshop on Algorithms and Computation</v>
      </c>
      <c r="D41">
        <f>IFERROR(__xludf.DUMMYFUNCTION("""COMPUTED_VALUE"""),9.0)</f>
        <v>9</v>
      </c>
      <c r="E41" s="147" t="str">
        <f>IFERROR(__xludf.DUMMYFUNCTION("""COMPUTED_VALUE"""),"https://scholar.google.com/citations?hl=en&amp;view_op=list_hcore&amp;venue=Qm-_RD142XUJ.2024")</f>
        <v>https://scholar.google.com/citations?hl=en&amp;view_op=list_hcore&amp;venue=Qm-_RD142XUJ.2024</v>
      </c>
      <c r="I41" s="60" t="str">
        <f>IFERROR(__xludf.DUMMYFUNCTION("""COMPUTED_VALUE"""),"https://dblp.org/db/conf/walcom/index.html")</f>
        <v>https://dblp.org/db/conf/walcom/index.html</v>
      </c>
    </row>
    <row r="42">
      <c r="A42" s="68" t="str">
        <f>IFERROR(__xludf.DUMMYFUNCTION("""COMPUTED_VALUE"""),"Eventos da Área")</f>
        <v>Eventos da Área</v>
      </c>
      <c r="B42" t="str">
        <f>IFERROR(__xludf.DUMMYFUNCTION("""COMPUTED_VALUE"""),"IWOCA")</f>
        <v>IWOCA</v>
      </c>
      <c r="C42" t="str">
        <f>IFERROR(__xludf.DUMMYFUNCTION("""COMPUTED_VALUE"""),"International Workshop on Combinatorial Algorithms")</f>
        <v>International Workshop on Combinatorial Algorithms</v>
      </c>
      <c r="D42">
        <f>IFERROR(__xludf.DUMMYFUNCTION("""COMPUTED_VALUE"""),11.0)</f>
        <v>11</v>
      </c>
      <c r="E42" s="147" t="str">
        <f>IFERROR(__xludf.DUMMYFUNCTION("""COMPUTED_VALUE"""),"https://scholar.google.com/citations?hl=en&amp;view_op=list_hcore&amp;venue=aEFAi4RU6TEJ.2024")</f>
        <v>https://scholar.google.com/citations?hl=en&amp;view_op=list_hcore&amp;venue=aEFAi4RU6TEJ.2024</v>
      </c>
      <c r="I42" s="60" t="str">
        <f>IFERROR(__xludf.DUMMYFUNCTION("""COMPUTED_VALUE"""),"https://dblp.org/db/conf/iwoca/index.html")</f>
        <v>https://dblp.org/db/conf/iwoca/index.html</v>
      </c>
    </row>
    <row r="43">
      <c r="A43" s="68" t="str">
        <f>IFERROR(__xludf.DUMMYFUNCTION("""COMPUTED_VALUE"""),"Eventos da Área")</f>
        <v>Eventos da Área</v>
      </c>
      <c r="B43" t="str">
        <f>IFERROR(__xludf.DUMMYFUNCTION("""COMPUTED_VALUE"""),"ALIO/EURO")</f>
        <v>ALIO/EURO</v>
      </c>
      <c r="C43" t="str">
        <f>IFERROR(__xludf.DUMMYFUNCTION("""COMPUTED_VALUE"""),"Joint ALIO/EURO International Conference on Applied Combinatorial Optimization")</f>
        <v>Joint ALIO/EURO International Conference on Applied Combinatorial Optimization</v>
      </c>
      <c r="E43" s="147"/>
    </row>
    <row r="44">
      <c r="A44" s="68" t="str">
        <f>IFERROR(__xludf.DUMMYFUNCTION("""COMPUTED_VALUE"""),"Eventos da Área")</f>
        <v>Eventos da Área</v>
      </c>
      <c r="B44" t="str">
        <f>IFERROR(__xludf.DUMMYFUNCTION("""COMPUTED_VALUE"""),"LAWCG")</f>
        <v>LAWCG</v>
      </c>
      <c r="C44" t="str">
        <f>IFERROR(__xludf.DUMMYFUNCTION("""COMPUTED_VALUE"""),"Latin American Workshop on Cliques in Graphs")</f>
        <v>Latin American Workshop on Cliques in Graphs</v>
      </c>
      <c r="E44" s="147"/>
    </row>
    <row r="45">
      <c r="A45" s="68" t="str">
        <f>IFERROR(__xludf.DUMMYFUNCTION("""COMPUTED_VALUE"""),"Eventos da Área")</f>
        <v>Eventos da Área</v>
      </c>
      <c r="B45" t="str">
        <f>IFERROR(__xludf.DUMMYFUNCTION("""COMPUTED_VALUE"""),"LAGOS")</f>
        <v>LAGOS</v>
      </c>
      <c r="C45" t="str">
        <f>IFERROR(__xludf.DUMMYFUNCTION("""COMPUTED_VALUE"""),"Latin-American Algorithms, Graphs and Optimization Symposium")</f>
        <v>Latin-American Algorithms, Graphs and Optimization Symposium</v>
      </c>
      <c r="E45" s="147"/>
      <c r="I45" s="60" t="str">
        <f>IFERROR(__xludf.DUMMYFUNCTION("""COMPUTED_VALUE"""),"https://dblp.org/db/conf/lagos/index.html")</f>
        <v>https://dblp.org/db/conf/lagos/index.html</v>
      </c>
    </row>
    <row r="46">
      <c r="A46" s="68" t="str">
        <f>IFERROR(__xludf.DUMMYFUNCTION("""COMPUTED_VALUE"""),"Eventos da Área")</f>
        <v>Eventos da Área</v>
      </c>
      <c r="B46" t="str">
        <f>IFERROR(__xludf.DUMMYFUNCTION("""COMPUTED_VALUE"""),"CLAIO")</f>
        <v>CLAIO</v>
      </c>
      <c r="C46" t="str">
        <f>IFERROR(__xludf.DUMMYFUNCTION("""COMPUTED_VALUE"""),"Latin-Ibero-American Conference on Operations Research")</f>
        <v>Latin-Ibero-American Conference on Operations Research</v>
      </c>
      <c r="E46" s="147"/>
    </row>
    <row r="47">
      <c r="A47" s="68" t="str">
        <f>IFERROR(__xludf.DUMMYFUNCTION("""COMPUTED_VALUE"""),"Eventos da Área")</f>
        <v>Eventos da Área</v>
      </c>
      <c r="B47" t="str">
        <f>IFERROR(__xludf.DUMMYFUNCTION("""COMPUTED_VALUE"""),"SWAT")</f>
        <v>SWAT</v>
      </c>
      <c r="C47" t="str">
        <f>IFERROR(__xludf.DUMMYFUNCTION("""COMPUTED_VALUE"""),"Scandinavian Workshop on Algorithm Theory")</f>
        <v>Scandinavian Workshop on Algorithm Theory</v>
      </c>
      <c r="D47">
        <f>IFERROR(__xludf.DUMMYFUNCTION("""COMPUTED_VALUE"""),10.0)</f>
        <v>10</v>
      </c>
      <c r="E47" s="147" t="str">
        <f>IFERROR(__xludf.DUMMYFUNCTION("""COMPUTED_VALUE"""),"https://scholar.google.com/citations?hl=en&amp;view_op=list_hcore&amp;venue=IyEy51GZdIUJ.2023")</f>
        <v>https://scholar.google.com/citations?hl=en&amp;view_op=list_hcore&amp;venue=IyEy51GZdIUJ.2023</v>
      </c>
      <c r="I47" s="60" t="str">
        <f>IFERROR(__xludf.DUMMYFUNCTION("""COMPUTED_VALUE"""),"https://dblp.org/db/conf/swat/index.html")</f>
        <v>https://dblp.org/db/conf/swat/index.html</v>
      </c>
    </row>
    <row r="48">
      <c r="A48" s="68" t="str">
        <f>IFERROR(__xludf.DUMMYFUNCTION("""COMPUTED_VALUE"""),"Eventos da Área")</f>
        <v>Eventos da Área</v>
      </c>
      <c r="B48" t="str">
        <f>IFERROR(__xludf.DUMMYFUNCTION("""COMPUTED_VALUE"""),"DM")</f>
        <v>DM</v>
      </c>
      <c r="C48" t="str">
        <f>IFERROR(__xludf.DUMMYFUNCTION("""COMPUTED_VALUE"""),"SIAM Conference on Discrete Mathematics")</f>
        <v>SIAM Conference on Discrete Mathematics</v>
      </c>
      <c r="E48" s="147"/>
    </row>
    <row r="49">
      <c r="A49" s="68" t="str">
        <f>IFERROR(__xludf.DUMMYFUNCTION("""COMPUTED_VALUE"""),"Eventos da Área")</f>
        <v>Eventos da Área</v>
      </c>
      <c r="B49" t="str">
        <f>IFERROR(__xludf.DUMMYFUNCTION("""COMPUTED_VALUE"""),"OP")</f>
        <v>OP</v>
      </c>
      <c r="C49" t="str">
        <f>IFERROR(__xludf.DUMMYFUNCTION("""COMPUTED_VALUE"""),"SIAM Conference on Optimization")</f>
        <v>SIAM Conference on Optimization</v>
      </c>
      <c r="E49" s="147"/>
    </row>
    <row r="50">
      <c r="A50" s="68" t="str">
        <f>IFERROR(__xludf.DUMMYFUNCTION("""COMPUTED_VALUE"""),"Eventos da Área")</f>
        <v>Eventos da Área</v>
      </c>
      <c r="B50" t="str">
        <f>IFERROR(__xludf.DUMMYFUNCTION("""COMPUTED_VALUE"""),"ALENEX")</f>
        <v>ALENEX</v>
      </c>
      <c r="C50" t="str">
        <f>IFERROR(__xludf.DUMMYFUNCTION("""COMPUTED_VALUE"""),"SIAM Symposium on Algorithm Engineering and Experiments")</f>
        <v>SIAM Symposium on Algorithm Engineering and Experiments</v>
      </c>
      <c r="E50" s="147"/>
      <c r="I50" s="60" t="str">
        <f>IFERROR(__xludf.DUMMYFUNCTION("""COMPUTED_VALUE"""),"https://dblp.org/db/conf/alenex/index.html")</f>
        <v>https://dblp.org/db/conf/alenex/index.html</v>
      </c>
    </row>
    <row r="51">
      <c r="A51" s="68" t="str">
        <f>IFERROR(__xludf.DUMMYFUNCTION("""COMPUTED_VALUE"""),"Eventos da Área")</f>
        <v>Eventos da Área</v>
      </c>
      <c r="B51" t="str">
        <f>IFERROR(__xludf.DUMMYFUNCTION("""COMPUTED_VALUE"""),"SOSA")</f>
        <v>SOSA</v>
      </c>
      <c r="C51" t="str">
        <f>IFERROR(__xludf.DUMMYFUNCTION("""COMPUTED_VALUE"""),"SIAM Symposium on Simplicity in Algorithms")</f>
        <v>SIAM Symposium on Simplicity in Algorithms</v>
      </c>
      <c r="E51" s="147"/>
      <c r="I51" s="60" t="str">
        <f>IFERROR(__xludf.DUMMYFUNCTION("""COMPUTED_VALUE"""),"https://dblp.org/db/conf/sosa/index.html")</f>
        <v>https://dblp.org/db/conf/sosa/index.html</v>
      </c>
    </row>
    <row r="52">
      <c r="A52" s="68" t="str">
        <f>IFERROR(__xludf.DUMMYFUNCTION("""COMPUTED_VALUE"""),"Eventos da Área")</f>
        <v>Eventos da Área</v>
      </c>
      <c r="B52" t="str">
        <f>IFERROR(__xludf.DUMMYFUNCTION("""COMPUTED_VALUE"""),"SBPO")</f>
        <v>SBPO</v>
      </c>
      <c r="C52" t="str">
        <f>IFERROR(__xludf.DUMMYFUNCTION("""COMPUTED_VALUE"""),"Simpósio Brasileiro de Pesquisa Operacional")</f>
        <v>Simpósio Brasileiro de Pesquisa Operacional</v>
      </c>
      <c r="E52" s="147"/>
    </row>
    <row r="53">
      <c r="A53" s="68" t="str">
        <f>IFERROR(__xludf.DUMMYFUNCTION("""COMPUTED_VALUE"""),"Eventos da Área")</f>
        <v>Eventos da Área</v>
      </c>
      <c r="B53" t="str">
        <f>IFERROR(__xludf.DUMMYFUNCTION("""COMPUTED_VALUE"""),"ANALCO")</f>
        <v>ANALCO</v>
      </c>
      <c r="C53" t="str">
        <f>IFERROR(__xludf.DUMMYFUNCTION("""COMPUTED_VALUE"""),"Workshop on Analytic Algorithmics and Combinatorics")</f>
        <v>Workshop on Analytic Algorithmics and Combinatorics</v>
      </c>
      <c r="E53" s="147"/>
      <c r="I53" s="60" t="str">
        <f>IFERROR(__xludf.DUMMYFUNCTION("""COMPUTED_VALUE"""),"https://dblp.org/db/conf/analco/index.html")</f>
        <v>https://dblp.org/db/conf/analco/index.html</v>
      </c>
    </row>
    <row r="54">
      <c r="A54" s="68" t="str">
        <f>IFERROR(__xludf.DUMMYFUNCTION("""COMPUTED_VALUE"""),"Eventos da Área")</f>
        <v>Eventos da Área</v>
      </c>
      <c r="B54" t="str">
        <f>IFERROR(__xludf.DUMMYFUNCTION("""COMPUTED_VALUE"""),"WAOA")</f>
        <v>WAOA</v>
      </c>
      <c r="C54" t="str">
        <f>IFERROR(__xludf.DUMMYFUNCTION("""COMPUTED_VALUE"""),"Workshop on Approximation and Online Algorithms")</f>
        <v>Workshop on Approximation and Online Algorithms</v>
      </c>
      <c r="E54" s="147"/>
      <c r="I54" s="60" t="str">
        <f>IFERROR(__xludf.DUMMYFUNCTION("""COMPUTED_VALUE"""),"https://dblp.org/db/conf/waoa/index.html")</f>
        <v>https://dblp.org/db/conf/waoa/index.html</v>
      </c>
    </row>
    <row r="55">
      <c r="A55" s="68"/>
      <c r="E55" s="147"/>
    </row>
    <row r="56">
      <c r="A56" s="68"/>
      <c r="E56" s="147"/>
    </row>
    <row r="57">
      <c r="A57" s="68"/>
      <c r="E57" s="147"/>
    </row>
    <row r="58">
      <c r="A58" s="68"/>
      <c r="E58" s="147"/>
    </row>
    <row r="59">
      <c r="A59" s="68"/>
      <c r="E59" s="147"/>
    </row>
    <row r="60">
      <c r="A60" s="68"/>
      <c r="E60" s="147"/>
    </row>
    <row r="61">
      <c r="A61" s="68"/>
      <c r="E61" s="147"/>
    </row>
    <row r="62">
      <c r="A62" s="68"/>
      <c r="E62" s="147"/>
    </row>
    <row r="63">
      <c r="A63" s="68"/>
      <c r="E63" s="147"/>
    </row>
    <row r="64">
      <c r="A64" s="68"/>
    </row>
    <row r="65">
      <c r="A65" s="68"/>
    </row>
    <row r="66">
      <c r="A66" s="68"/>
    </row>
    <row r="67">
      <c r="A67" s="68"/>
    </row>
    <row r="68">
      <c r="A68" s="68"/>
    </row>
    <row r="69">
      <c r="A69" s="68"/>
    </row>
    <row r="70">
      <c r="A70" s="68"/>
    </row>
    <row r="71">
      <c r="A71" s="68"/>
    </row>
    <row r="72">
      <c r="A72" s="68"/>
    </row>
    <row r="73">
      <c r="A73" s="68"/>
    </row>
    <row r="74">
      <c r="A74" s="68"/>
    </row>
    <row r="75">
      <c r="A75" s="68"/>
    </row>
    <row r="76">
      <c r="A76" s="68"/>
    </row>
    <row r="77">
      <c r="A77" s="68"/>
    </row>
    <row r="78">
      <c r="A78" s="68"/>
    </row>
    <row r="79">
      <c r="A79" s="68"/>
    </row>
    <row r="80">
      <c r="A80" s="68"/>
    </row>
    <row r="81">
      <c r="A81" s="68"/>
    </row>
    <row r="82">
      <c r="A82" s="68"/>
    </row>
    <row r="83">
      <c r="A83" s="68"/>
    </row>
    <row r="84">
      <c r="A84" s="68"/>
    </row>
    <row r="85">
      <c r="A85" s="68"/>
    </row>
    <row r="86">
      <c r="A86" s="68"/>
    </row>
    <row r="87">
      <c r="A87" s="68"/>
    </row>
    <row r="88">
      <c r="A88" s="68"/>
    </row>
    <row r="89">
      <c r="A89" s="68"/>
    </row>
    <row r="90">
      <c r="A90" s="68"/>
    </row>
    <row r="91">
      <c r="A91" s="68"/>
    </row>
    <row r="92">
      <c r="A92" s="68"/>
    </row>
    <row r="93">
      <c r="A93" s="68"/>
    </row>
    <row r="94">
      <c r="A94" s="68"/>
    </row>
    <row r="95">
      <c r="A95" s="68"/>
    </row>
    <row r="96">
      <c r="A96" s="68"/>
    </row>
    <row r="97">
      <c r="A97" s="68"/>
    </row>
    <row r="98">
      <c r="A98" s="68"/>
    </row>
    <row r="99">
      <c r="A99" s="68"/>
    </row>
    <row r="100">
      <c r="A100" s="68"/>
    </row>
    <row r="101">
      <c r="A101" s="68"/>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E10"/>
    <hyperlink r:id="rId18" ref="I10"/>
    <hyperlink r:id="rId19" ref="E11"/>
    <hyperlink r:id="rId20" ref="I11"/>
    <hyperlink r:id="rId21" ref="E12"/>
    <hyperlink r:id="rId22" ref="I12"/>
    <hyperlink r:id="rId23" ref="E13"/>
    <hyperlink r:id="rId24" ref="E14"/>
    <hyperlink r:id="rId25" ref="I14"/>
    <hyperlink r:id="rId26" ref="E15"/>
    <hyperlink r:id="rId27" ref="I15"/>
    <hyperlink r:id="rId28" ref="E16"/>
    <hyperlink r:id="rId29" ref="I16"/>
    <hyperlink r:id="rId30" ref="E17"/>
    <hyperlink r:id="rId31" ref="I17"/>
    <hyperlink r:id="rId32" ref="E18"/>
    <hyperlink r:id="rId33" ref="I18"/>
    <hyperlink r:id="rId34" ref="E19"/>
    <hyperlink r:id="rId35" ref="I19"/>
    <hyperlink r:id="rId36" ref="E20"/>
    <hyperlink r:id="rId37" ref="I20"/>
    <hyperlink r:id="rId38" ref="E21"/>
    <hyperlink r:id="rId39" ref="I21"/>
    <hyperlink r:id="rId40" ref="I22"/>
    <hyperlink r:id="rId41" ref="E24"/>
    <hyperlink r:id="rId42" ref="J24"/>
    <hyperlink r:id="rId43" ref="E26"/>
    <hyperlink r:id="rId44" ref="I26"/>
    <hyperlink r:id="rId45" ref="E27"/>
    <hyperlink r:id="rId46" ref="I27"/>
    <hyperlink r:id="rId47" ref="E28"/>
    <hyperlink r:id="rId48" ref="I28"/>
    <hyperlink r:id="rId49" ref="E29"/>
    <hyperlink r:id="rId50" ref="I29"/>
    <hyperlink r:id="rId51" ref="E30"/>
    <hyperlink r:id="rId52" ref="I30"/>
    <hyperlink r:id="rId53" ref="I31"/>
    <hyperlink r:id="rId54" ref="I32"/>
    <hyperlink r:id="rId55" ref="I33"/>
    <hyperlink r:id="rId56" ref="I34"/>
    <hyperlink r:id="rId57" ref="I35"/>
    <hyperlink r:id="rId58" ref="I36"/>
    <hyperlink r:id="rId59" ref="E37"/>
    <hyperlink r:id="rId60" ref="I37"/>
    <hyperlink r:id="rId61" ref="I38"/>
    <hyperlink r:id="rId62" ref="E39"/>
    <hyperlink r:id="rId63" ref="I39"/>
    <hyperlink r:id="rId64" ref="I40"/>
    <hyperlink r:id="rId65" ref="E41"/>
    <hyperlink r:id="rId66" ref="I41"/>
    <hyperlink r:id="rId67" ref="E42"/>
    <hyperlink r:id="rId68" ref="I42"/>
    <hyperlink r:id="rId69" ref="I45"/>
    <hyperlink r:id="rId70" ref="E47"/>
    <hyperlink r:id="rId71" ref="I47"/>
    <hyperlink r:id="rId72" ref="I50"/>
    <hyperlink r:id="rId73" ref="I51"/>
    <hyperlink r:id="rId74" ref="I53"/>
    <hyperlink r:id="rId75" ref="I54"/>
  </hyperlinks>
  <drawing r:id="rId76"/>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69.88"/>
    <col customWidth="1" min="5" max="5" width="77.5"/>
    <col customWidth="1" min="6" max="6" width="12.63"/>
    <col customWidth="1" min="7" max="7" width="31.13"/>
    <col customWidth="1" min="8" max="8" width="35.88"/>
    <col customWidth="1" min="9" max="9" width="37.5"/>
    <col customWidth="1" min="10" max="10" width="37.88"/>
  </cols>
  <sheetData>
    <row r="1">
      <c r="A1" s="1" t="str">
        <f>IFERROR(__xludf.DUMMYFUNCTION("importrange(""https://docs.google.com/spreadsheets/d/1q-4laA365aASHiw31u4LAFqLs9XuluEdKBhFCEyf1eg/edit#gid=1865544485"",""CE-BioComp!A1:J150"")"),"TOP")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58" t="str">
        <f>IFERROR(__xludf.DUMMYFUNCTION("""COMPUTED_VALUE"""),"Top 10")</f>
        <v>Top 10</v>
      </c>
      <c r="B2" t="str">
        <f>IFERROR(__xludf.DUMMYFUNCTION("""COMPUTED_VALUE"""),"RECOMB")</f>
        <v>RECOMB</v>
      </c>
      <c r="C2" t="str">
        <f>IFERROR(__xludf.DUMMYFUNCTION("""COMPUTED_VALUE"""),"International Conference on Research in Computational Molecular Biology")</f>
        <v>International Conference on Research in Computational Molecular Biology</v>
      </c>
      <c r="D2">
        <f>IFERROR(__xludf.DUMMYFUNCTION("""COMPUTED_VALUE"""),23.0)</f>
        <v>23</v>
      </c>
      <c r="E2" s="147" t="str">
        <f>IFERROR(__xludf.DUMMYFUNCTION("""COMPUTED_VALUE"""),"https://scholar.google.com/citations?hl=en&amp;vq=bio_bioinformatics&amp;view_op=list_hcore&amp;venue=Bt5D8QeIDW8J.2019")</f>
        <v>https://scholar.google.com/citations?hl=en&amp;vq=bio_bioinformatics&amp;view_op=list_hcore&amp;venue=Bt5D8QeIDW8J.2019</v>
      </c>
    </row>
    <row r="3">
      <c r="A3" s="58" t="str">
        <f>IFERROR(__xludf.DUMMYFUNCTION("""COMPUTED_VALUE"""),"Top 10")</f>
        <v>Top 10</v>
      </c>
      <c r="B3" t="str">
        <f>IFERROR(__xludf.DUMMYFUNCTION("""COMPUTED_VALUE"""),"BIBM")</f>
        <v>BIBM</v>
      </c>
      <c r="C3" t="str">
        <f>IFERROR(__xludf.DUMMYFUNCTION("""COMPUTED_VALUE"""),"IEEE International Conference on Bioinformatics and Biomedicine")</f>
        <v>IEEE International Conference on Bioinformatics and Biomedicine</v>
      </c>
      <c r="D3">
        <f>IFERROR(__xludf.DUMMYFUNCTION("""COMPUTED_VALUE"""),23.0)</f>
        <v>23</v>
      </c>
      <c r="E3" s="147" t="str">
        <f>IFERROR(__xludf.DUMMYFUNCTION("""COMPUTED_VALUE"""),"https://scholar.google.com/citations?hl=en&amp;vq=bio_bioinformatics&amp;view_op=list_hcore&amp;venue=4m3nKpBBPt4J.2019")</f>
        <v>https://scholar.google.com/citations?hl=en&amp;vq=bio_bioinformatics&amp;view_op=list_hcore&amp;venue=4m3nKpBBPt4J.2019</v>
      </c>
    </row>
    <row r="4">
      <c r="A4" s="58" t="str">
        <f>IFERROR(__xludf.DUMMYFUNCTION("""COMPUTED_VALUE"""),"Top 10")</f>
        <v>Top 10</v>
      </c>
      <c r="B4" t="str">
        <f>IFERROR(__xludf.DUMMYFUNCTION("""COMPUTED_VALUE"""),"PSB")</f>
        <v>PSB</v>
      </c>
      <c r="C4" t="str">
        <f>IFERROR(__xludf.DUMMYFUNCTION("""COMPUTED_VALUE"""),"Pacific Symposium on Biocomputing")</f>
        <v>Pacific Symposium on Biocomputing</v>
      </c>
      <c r="D4">
        <f>IFERROR(__xludf.DUMMYFUNCTION("""COMPUTED_VALUE"""),22.0)</f>
        <v>22</v>
      </c>
      <c r="E4" s="147" t="str">
        <f>IFERROR(__xludf.DUMMYFUNCTION("""COMPUTED_VALUE"""),"https://scholar.google.com/citations?hl=en&amp;view_op=list_hcore&amp;venue=Wzseq37BLhIJ.2019")</f>
        <v>https://scholar.google.com/citations?hl=en&amp;view_op=list_hcore&amp;venue=Wzseq37BLhIJ.2019</v>
      </c>
    </row>
    <row r="5">
      <c r="A5" s="58" t="str">
        <f>IFERROR(__xludf.DUMMYFUNCTION("""COMPUTED_VALUE"""),"Top 10")</f>
        <v>Top 10</v>
      </c>
      <c r="B5" t="str">
        <f>IFERROR(__xludf.DUMMYFUNCTION("""COMPUTED_VALUE"""),"BCB")</f>
        <v>BCB</v>
      </c>
      <c r="C5" t="str">
        <f>IFERROR(__xludf.DUMMYFUNCTION("""COMPUTED_VALUE"""),"ACM Conference on Bioinformatics, Computational Biology, and Health Informatics")</f>
        <v>ACM Conference on Bioinformatics, Computational Biology, and Health Informatics</v>
      </c>
      <c r="D5">
        <f>IFERROR(__xludf.DUMMYFUNCTION("""COMPUTED_VALUE"""),19.0)</f>
        <v>19</v>
      </c>
      <c r="E5" s="147" t="str">
        <f>IFERROR(__xludf.DUMMYFUNCTION("""COMPUTED_VALUE"""),"https://scholar.google.com/citations?hl=en&amp;vq=bio_bioinformatics&amp;view_op=list_hcore&amp;venue=A0r8tJR7iaEJ.2019")</f>
        <v>https://scholar.google.com/citations?hl=en&amp;vq=bio_bioinformatics&amp;view_op=list_hcore&amp;venue=A0r8tJR7iaEJ.2019</v>
      </c>
    </row>
    <row r="6">
      <c r="A6" s="58" t="str">
        <f>IFERROR(__xludf.DUMMYFUNCTION("""COMPUTED_VALUE"""),"Top 10")</f>
        <v>Top 10</v>
      </c>
      <c r="B6" t="str">
        <f>IFERROR(__xludf.DUMMYFUNCTION("""COMPUTED_VALUE"""),"WABI")</f>
        <v>WABI</v>
      </c>
      <c r="C6" t="str">
        <f>IFERROR(__xludf.DUMMYFUNCTION("""COMPUTED_VALUE"""),"Workshop on Algorithms in Bioinformatics")</f>
        <v>Workshop on Algorithms in Bioinformatics</v>
      </c>
      <c r="D6">
        <f>IFERROR(__xludf.DUMMYFUNCTION("""COMPUTED_VALUE"""),12.0)</f>
        <v>12</v>
      </c>
      <c r="E6" s="147" t="str">
        <f>IFERROR(__xludf.DUMMYFUNCTION("""COMPUTED_VALUE"""),"https://scholar.google.com/citations?hl=en&amp;view_op=list_hcore&amp;venue=HnP0m-BVIUMJ.2019")</f>
        <v>https://scholar.google.com/citations?hl=en&amp;view_op=list_hcore&amp;venue=HnP0m-BVIUMJ.2019</v>
      </c>
    </row>
    <row r="7">
      <c r="A7" s="58" t="str">
        <f>IFERROR(__xludf.DUMMYFUNCTION("""COMPUTED_VALUE"""),"Top 10")</f>
        <v>Top 10</v>
      </c>
      <c r="B7" t="str">
        <f>IFERROR(__xludf.DUMMYFUNCTION("""COMPUTED_VALUE"""),"BIBE")</f>
        <v>BIBE</v>
      </c>
      <c r="C7" t="str">
        <f>IFERROR(__xludf.DUMMYFUNCTION("""COMPUTED_VALUE"""),"IEEE International Conference on Bioinformatics and Bioengineering")</f>
        <v>IEEE International Conference on Bioinformatics and Bioengineering</v>
      </c>
      <c r="D7">
        <f>IFERROR(__xludf.DUMMYFUNCTION("""COMPUTED_VALUE"""),11.0)</f>
        <v>11</v>
      </c>
      <c r="E7" s="147" t="str">
        <f>IFERROR(__xludf.DUMMYFUNCTION("""COMPUTED_VALUE"""),"https://scholar.google.com/citations?hl=en&amp;view_op=list_hcore&amp;venue=2QSZR8tX_koJ.2019")</f>
        <v>https://scholar.google.com/citations?hl=en&amp;view_op=list_hcore&amp;venue=2QSZR8tX_koJ.2019</v>
      </c>
    </row>
    <row r="8">
      <c r="A8" s="58" t="str">
        <f>IFERROR(__xludf.DUMMYFUNCTION("""COMPUTED_VALUE"""),"Top 10")</f>
        <v>Top 10</v>
      </c>
      <c r="B8" s="129" t="str">
        <f>IFERROR(__xludf.DUMMYFUNCTION("""COMPUTED_VALUE"""),"IWBBIO")</f>
        <v>IWBBIO</v>
      </c>
      <c r="C8" t="str">
        <f>IFERROR(__xludf.DUMMYFUNCTION("""COMPUTED_VALUE"""),"International Work-Conference on Bioinformatics and Biomedical Engineering")</f>
        <v>International Work-Conference on Bioinformatics and Biomedical Engineering</v>
      </c>
      <c r="D8">
        <f>IFERROR(__xludf.DUMMYFUNCTION("""COMPUTED_VALUE"""),11.0)</f>
        <v>11</v>
      </c>
      <c r="E8" s="147" t="str">
        <f>IFERROR(__xludf.DUMMYFUNCTION("""COMPUTED_VALUE"""),"https://scholar.google.com/citations?hl=en&amp;view_op=list_hcore&amp;venue=T4IEJzWRVqIJ.2019")</f>
        <v>https://scholar.google.com/citations?hl=en&amp;view_op=list_hcore&amp;venue=T4IEJzWRVqIJ.2019</v>
      </c>
    </row>
    <row r="9">
      <c r="A9" s="58" t="str">
        <f>IFERROR(__xludf.DUMMYFUNCTION("""COMPUTED_VALUE"""),"Top 10")</f>
        <v>Top 10</v>
      </c>
      <c r="B9" t="str">
        <f>IFERROR(__xludf.DUMMYFUNCTION("""COMPUTED_VALUE"""),"CIBCB")</f>
        <v>CIBCB</v>
      </c>
      <c r="C9" t="str">
        <f>IFERROR(__xludf.DUMMYFUNCTION("""COMPUTED_VALUE"""),"IEEE Symposium on Computational Intelligence in Bioinformatics and Computational Biology")</f>
        <v>IEEE Symposium on Computational Intelligence in Bioinformatics and Computational Biology</v>
      </c>
      <c r="D9">
        <f>IFERROR(__xludf.DUMMYFUNCTION("""COMPUTED_VALUE"""),10.0)</f>
        <v>10</v>
      </c>
      <c r="E9" s="147" t="str">
        <f>IFERROR(__xludf.DUMMYFUNCTION("""COMPUTED_VALUE"""),"https://scholar.google.com/citations?hl=en&amp;view_op=list_hcore&amp;venue=ybNREko_Be0J.2019")</f>
        <v>https://scholar.google.com/citations?hl=en&amp;view_op=list_hcore&amp;venue=ybNREko_Be0J.2019</v>
      </c>
    </row>
    <row r="10">
      <c r="A10" s="58" t="str">
        <f>IFERROR(__xludf.DUMMYFUNCTION("""COMPUTED_VALUE"""),"Top 10")</f>
        <v>Top 10</v>
      </c>
      <c r="B10" t="str">
        <f>IFERROR(__xludf.DUMMYFUNCTION("""COMPUTED_VALUE"""),"PACBB")</f>
        <v>PACBB</v>
      </c>
      <c r="C10" t="str">
        <f>IFERROR(__xludf.DUMMYFUNCTION("""COMPUTED_VALUE"""),"International Conference on Practical Applications of Computational Biology &amp; Bioinformatics")</f>
        <v>International Conference on Practical Applications of Computational Biology &amp; Bioinformatics</v>
      </c>
      <c r="D10">
        <f>IFERROR(__xludf.DUMMYFUNCTION("""COMPUTED_VALUE"""),9.0)</f>
        <v>9</v>
      </c>
      <c r="E10" s="147" t="str">
        <f>IFERROR(__xludf.DUMMYFUNCTION("""COMPUTED_VALUE"""),"https://scholar.google.com/citations?hl=en&amp;view_op=list_hcore&amp;venue=mdYvjBmRbpwJ.2019")</f>
        <v>https://scholar.google.com/citations?hl=en&amp;view_op=list_hcore&amp;venue=mdYvjBmRbpwJ.2019</v>
      </c>
    </row>
    <row r="11">
      <c r="A11" s="58" t="str">
        <f>IFERROR(__xludf.DUMMYFUNCTION("""COMPUTED_VALUE"""),"Top 10")</f>
        <v>Top 10</v>
      </c>
      <c r="B11" t="str">
        <f>IFERROR(__xludf.DUMMYFUNCTION("""COMPUTED_VALUE"""),"ISBRA")</f>
        <v>ISBRA</v>
      </c>
      <c r="C11" t="str">
        <f>IFERROR(__xludf.DUMMYFUNCTION("""COMPUTED_VALUE"""),"International Symposium on Bioinformatics Research and Applications")</f>
        <v>International Symposium on Bioinformatics Research and Applications</v>
      </c>
      <c r="D11">
        <f>IFERROR(__xludf.DUMMYFUNCTION("""COMPUTED_VALUE"""),8.0)</f>
        <v>8</v>
      </c>
      <c r="E11" s="147" t="str">
        <f>IFERROR(__xludf.DUMMYFUNCTION("""COMPUTED_VALUE"""),"https://scholar.google.com/citations?hl=en&amp;view_op=list_hcore&amp;venue=CYFIxMLpkUsJ.2019")</f>
        <v>https://scholar.google.com/citations?hl=en&amp;view_op=list_hcore&amp;venue=CYFIxMLpkUsJ.2019</v>
      </c>
    </row>
    <row r="12">
      <c r="A12" s="65" t="str">
        <f>IFERROR(__xludf.DUMMYFUNCTION("""COMPUTED_VALUE"""),"Top 20")</f>
        <v>Top 20</v>
      </c>
      <c r="B12" t="str">
        <f>IFERROR(__xludf.DUMMYFUNCTION("""COMPUTED_VALUE"""),"ICCABS")</f>
        <v>ICCABS</v>
      </c>
      <c r="C12" t="str">
        <f>IFERROR(__xludf.DUMMYFUNCTION("""COMPUTED_VALUE"""),"International Conference on Computational Advances in Bio and Medical Sciences")</f>
        <v>International Conference on Computational Advances in Bio and Medical Sciences</v>
      </c>
      <c r="D12">
        <f>IFERROR(__xludf.DUMMYFUNCTION("""COMPUTED_VALUE"""),6.0)</f>
        <v>6</v>
      </c>
      <c r="E12" s="147" t="str">
        <f>IFERROR(__xludf.DUMMYFUNCTION("""COMPUTED_VALUE"""),"https://scholar.google.com/citations?hl=en&amp;view_op=list_hcore&amp;venue=QQeDv53tlF0J.2019")</f>
        <v>https://scholar.google.com/citations?hl=en&amp;view_op=list_hcore&amp;venue=QQeDv53tlF0J.2019</v>
      </c>
    </row>
    <row r="13">
      <c r="A13" s="65" t="str">
        <f>IFERROR(__xludf.DUMMYFUNCTION("""COMPUTED_VALUE"""),"Top 20")</f>
        <v>Top 20</v>
      </c>
      <c r="B13" t="str">
        <f>IFERROR(__xludf.DUMMYFUNCTION("""COMPUTED_VALUE"""),"BSB")</f>
        <v>BSB</v>
      </c>
      <c r="C13" t="str">
        <f>IFERROR(__xludf.DUMMYFUNCTION("""COMPUTED_VALUE"""),"Brazilian Symposium on Bioinformatics")</f>
        <v>Brazilian Symposium on Bioinformatics</v>
      </c>
      <c r="D13" t="str">
        <f>IFERROR(__xludf.DUMMYFUNCTION("""COMPUTED_VALUE"""),"*")</f>
        <v>*</v>
      </c>
      <c r="E13" s="147" t="str">
        <f>IFERROR(__xludf.DUMMYFUNCTION("""COMPUTED_VALUE"""),"Não aparece nas métricas do Google Scholar")</f>
        <v>Não aparece nas métricas do Google Scholar</v>
      </c>
    </row>
    <row r="14">
      <c r="A14" s="65" t="str">
        <f>IFERROR(__xludf.DUMMYFUNCTION("""COMPUTED_VALUE"""),"Top 20")</f>
        <v>Top 20</v>
      </c>
      <c r="B14" s="149" t="str">
        <f>IFERROR(__xludf.DUMMYFUNCTION("""COMPUTED_VALUE"""),"CSBIO")</f>
        <v>CSBIO</v>
      </c>
      <c r="C14" s="149" t="str">
        <f>IFERROR(__xludf.DUMMYFUNCTION("""COMPUTED_VALUE"""),"International Conference on Computational Systems-Biology and Bioinformatics")</f>
        <v>International Conference on Computational Systems-Biology and Bioinformatics</v>
      </c>
      <c r="E14" s="147" t="str">
        <f>IFERROR(__xludf.DUMMYFUNCTION("""COMPUTED_VALUE"""),"Não aparece nas métricas do Google Scholar")</f>
        <v>Não aparece nas métricas do Google Scholar</v>
      </c>
      <c r="F14" s="149"/>
    </row>
    <row r="15">
      <c r="A15" s="65" t="str">
        <f>IFERROR(__xludf.DUMMYFUNCTION("""COMPUTED_VALUE"""),"Top 20")</f>
        <v>Top 20</v>
      </c>
      <c r="B15" s="149" t="str">
        <f>IFERROR(__xludf.DUMMYFUNCTION("""COMPUTED_VALUE"""),"BIATA")</f>
        <v>BIATA</v>
      </c>
      <c r="C15" s="149" t="str">
        <f>IFERROR(__xludf.DUMMYFUNCTION("""COMPUTED_VALUE"""),"Bioinformatics: from Algorithms to Applications")</f>
        <v>Bioinformatics: from Algorithms to Applications</v>
      </c>
      <c r="E15" s="147" t="str">
        <f>IFERROR(__xludf.DUMMYFUNCTION("""COMPUTED_VALUE"""),"Não aparece nas métricas do Google Scholar")</f>
        <v>Não aparece nas métricas do Google Scholar</v>
      </c>
    </row>
    <row r="16">
      <c r="A16" s="65" t="str">
        <f>IFERROR(__xludf.DUMMYFUNCTION("""COMPUTED_VALUE"""),"Top 20")</f>
        <v>Top 20</v>
      </c>
      <c r="B16" t="str">
        <f>IFERROR(__xludf.DUMMYFUNCTION("""COMPUTED_VALUE"""),"AlCoB")</f>
        <v>AlCoB</v>
      </c>
      <c r="C16" t="str">
        <f>IFERROR(__xludf.DUMMYFUNCTION("""COMPUTED_VALUE"""),"International Conference on Algorithms for Computational Biology")</f>
        <v>International Conference on Algorithms for Computational Biology</v>
      </c>
      <c r="E16" s="147" t="str">
        <f>IFERROR(__xludf.DUMMYFUNCTION("""COMPUTED_VALUE"""),"Não aparece nas métricas do Google Scholar")</f>
        <v>Não aparece nas métricas do Google Scholar</v>
      </c>
    </row>
    <row r="17">
      <c r="A17" s="65" t="str">
        <f>IFERROR(__xludf.DUMMYFUNCTION("""COMPUTED_VALUE"""),"Top 20")</f>
        <v>Top 20</v>
      </c>
      <c r="B17" s="128" t="str">
        <f>IFERROR(__xludf.DUMMYFUNCTION("""COMPUTED_VALUE"""),"ISMB/ECCB")</f>
        <v>ISMB/ECCB</v>
      </c>
      <c r="C17" t="str">
        <f>IFERROR(__xludf.DUMMYFUNCTION("""COMPUTED_VALUE"""),"Intelligent Systems for Molecular Biology / European Conference on Computational Biology")</f>
        <v>Intelligent Systems for Molecular Biology / European Conference on Computational Biology</v>
      </c>
      <c r="E17" s="147" t="str">
        <f>IFERROR(__xludf.DUMMYFUNCTION("""COMPUTED_VALUE"""),"Não aparece nas métricas do Google Scholar")</f>
        <v>Não aparece nas métricas do Google Scholar</v>
      </c>
    </row>
    <row r="18">
      <c r="A18" s="65" t="str">
        <f>IFERROR(__xludf.DUMMYFUNCTION("""COMPUTED_VALUE"""),"Top 20")</f>
        <v>Top 20</v>
      </c>
    </row>
    <row r="19">
      <c r="A19" s="65" t="str">
        <f>IFERROR(__xludf.DUMMYFUNCTION("""COMPUTED_VALUE"""),"Top 20")</f>
        <v>Top 20</v>
      </c>
    </row>
    <row r="20">
      <c r="A20" s="65" t="str">
        <f>IFERROR(__xludf.DUMMYFUNCTION("""COMPUTED_VALUE"""),"Top 20")</f>
        <v>Top 20</v>
      </c>
    </row>
    <row r="21">
      <c r="A21" s="65" t="str">
        <f>IFERROR(__xludf.DUMMYFUNCTION("""COMPUTED_VALUE"""),"Top 20")</f>
        <v>Top 20</v>
      </c>
    </row>
    <row r="22">
      <c r="A22" s="68" t="str">
        <f>IFERROR(__xludf.DUMMYFUNCTION("""COMPUTED_VALUE"""),"Eventos da Área")</f>
        <v>Eventos da Área</v>
      </c>
    </row>
    <row r="23">
      <c r="A23" s="68" t="str">
        <f>IFERROR(__xludf.DUMMYFUNCTION("""COMPUTED_VALUE"""),"Eventos da Área")</f>
        <v>Eventos da Área</v>
      </c>
    </row>
    <row r="24">
      <c r="A24" s="68" t="str">
        <f>IFERROR(__xludf.DUMMYFUNCTION("""COMPUTED_VALUE"""),"Eventos da Área")</f>
        <v>Eventos da Área</v>
      </c>
    </row>
    <row r="25">
      <c r="A25" s="68" t="str">
        <f>IFERROR(__xludf.DUMMYFUNCTION("""COMPUTED_VALUE"""),"Eventos da Área")</f>
        <v>Eventos da Área</v>
      </c>
    </row>
    <row r="26">
      <c r="A26" s="68" t="str">
        <f>IFERROR(__xludf.DUMMYFUNCTION("""COMPUTED_VALUE"""),"Eventos da Área")</f>
        <v>Eventos da Área</v>
      </c>
    </row>
    <row r="27">
      <c r="A27" s="68" t="str">
        <f>IFERROR(__xludf.DUMMYFUNCTION("""COMPUTED_VALUE"""),"Eventos da Área")</f>
        <v>Eventos da Área</v>
      </c>
    </row>
    <row r="28">
      <c r="A28" s="68" t="str">
        <f>IFERROR(__xludf.DUMMYFUNCTION("""COMPUTED_VALUE"""),"Eventos da Área")</f>
        <v>Eventos da Área</v>
      </c>
    </row>
    <row r="29">
      <c r="A29" s="68" t="str">
        <f>IFERROR(__xludf.DUMMYFUNCTION("""COMPUTED_VALUE"""),"Eventos da Área")</f>
        <v>Eventos da Área</v>
      </c>
    </row>
    <row r="30">
      <c r="A30" s="68" t="str">
        <f>IFERROR(__xludf.DUMMYFUNCTION("""COMPUTED_VALUE"""),"Eventos da Área")</f>
        <v>Eventos da Área</v>
      </c>
    </row>
    <row r="31">
      <c r="A31" s="68" t="str">
        <f>IFERROR(__xludf.DUMMYFUNCTION("""COMPUTED_VALUE"""),"Eventos da Área")</f>
        <v>Eventos da Área</v>
      </c>
    </row>
    <row r="32">
      <c r="A32" s="68" t="str">
        <f>IFERROR(__xludf.DUMMYFUNCTION("""COMPUTED_VALUE"""),"Eventos da Área")</f>
        <v>Eventos da Área</v>
      </c>
    </row>
    <row r="33">
      <c r="A33" s="68" t="str">
        <f>IFERROR(__xludf.DUMMYFUNCTION("""COMPUTED_VALUE"""),"Eventos da Área")</f>
        <v>Eventos da Área</v>
      </c>
    </row>
    <row r="34">
      <c r="A34" s="68" t="str">
        <f>IFERROR(__xludf.DUMMYFUNCTION("""COMPUTED_VALUE"""),"Eventos da Área")</f>
        <v>Eventos da Área</v>
      </c>
    </row>
    <row r="35">
      <c r="A35" s="68" t="str">
        <f>IFERROR(__xludf.DUMMYFUNCTION("""COMPUTED_VALUE"""),"Eventos da Área")</f>
        <v>Eventos da Área</v>
      </c>
    </row>
    <row r="36">
      <c r="A36" s="68" t="str">
        <f>IFERROR(__xludf.DUMMYFUNCTION("""COMPUTED_VALUE"""),"Eventos da Área")</f>
        <v>Eventos da Área</v>
      </c>
    </row>
    <row r="37">
      <c r="A37" s="68" t="str">
        <f>IFERROR(__xludf.DUMMYFUNCTION("""COMPUTED_VALUE"""),"Eventos da Área")</f>
        <v>Eventos da Área</v>
      </c>
    </row>
    <row r="38">
      <c r="A38" s="68" t="str">
        <f>IFERROR(__xludf.DUMMYFUNCTION("""COMPUTED_VALUE"""),"Eventos da Área")</f>
        <v>Eventos da Área</v>
      </c>
    </row>
    <row r="39">
      <c r="A39" s="68" t="str">
        <f>IFERROR(__xludf.DUMMYFUNCTION("""COMPUTED_VALUE"""),"Eventos da Área")</f>
        <v>Eventos da Área</v>
      </c>
    </row>
    <row r="40">
      <c r="A40" s="68" t="str">
        <f>IFERROR(__xludf.DUMMYFUNCTION("""COMPUTED_VALUE"""),"Eventos da Área")</f>
        <v>Eventos da Área</v>
      </c>
    </row>
    <row r="41">
      <c r="A41" s="68" t="str">
        <f>IFERROR(__xludf.DUMMYFUNCTION("""COMPUTED_VALUE"""),"Eventos da Área")</f>
        <v>Eventos da Área</v>
      </c>
    </row>
    <row r="42">
      <c r="A42" s="68" t="str">
        <f>IFERROR(__xludf.DUMMYFUNCTION("""COMPUTED_VALUE"""),"Eventos da Área")</f>
        <v>Eventos da Área</v>
      </c>
    </row>
    <row r="43">
      <c r="A43" s="68" t="str">
        <f>IFERROR(__xludf.DUMMYFUNCTION("""COMPUTED_VALUE"""),"Eventos da Área")</f>
        <v>Eventos da Área</v>
      </c>
    </row>
    <row r="44">
      <c r="A44" s="68" t="str">
        <f>IFERROR(__xludf.DUMMYFUNCTION("""COMPUTED_VALUE"""),"Eventos da Área")</f>
        <v>Eventos da Área</v>
      </c>
    </row>
    <row r="45">
      <c r="A45" s="68" t="str">
        <f>IFERROR(__xludf.DUMMYFUNCTION("""COMPUTED_VALUE"""),"Eventos da Área")</f>
        <v>Eventos da Área</v>
      </c>
    </row>
    <row r="46">
      <c r="A46" s="68" t="str">
        <f>IFERROR(__xludf.DUMMYFUNCTION("""COMPUTED_VALUE"""),"Eventos da Área")</f>
        <v>Eventos da Área</v>
      </c>
    </row>
    <row r="47">
      <c r="A47" s="68" t="str">
        <f>IFERROR(__xludf.DUMMYFUNCTION("""COMPUTED_VALUE"""),"Eventos da Área")</f>
        <v>Eventos da Área</v>
      </c>
    </row>
    <row r="48">
      <c r="A48" s="68" t="str">
        <f>IFERROR(__xludf.DUMMYFUNCTION("""COMPUTED_VALUE"""),"Eventos da Área")</f>
        <v>Eventos da Área</v>
      </c>
    </row>
    <row r="49">
      <c r="A49" s="68" t="str">
        <f>IFERROR(__xludf.DUMMYFUNCTION("""COMPUTED_VALUE"""),"Eventos da Área")</f>
        <v>Eventos da Área</v>
      </c>
    </row>
    <row r="50">
      <c r="A50" s="68" t="str">
        <f>IFERROR(__xludf.DUMMYFUNCTION("""COMPUTED_VALUE"""),"Eventos da Área")</f>
        <v>Eventos da Área</v>
      </c>
    </row>
    <row r="51">
      <c r="A51" s="68" t="str">
        <f>IFERROR(__xludf.DUMMYFUNCTION("""COMPUTED_VALUE"""),"Eventos da Área")</f>
        <v>Eventos da Área</v>
      </c>
    </row>
    <row r="52">
      <c r="A52" s="68" t="str">
        <f>IFERROR(__xludf.DUMMYFUNCTION("""COMPUTED_VALUE"""),"Eventos da Área")</f>
        <v>Eventos da Área</v>
      </c>
    </row>
    <row r="53">
      <c r="A53" s="68" t="str">
        <f>IFERROR(__xludf.DUMMYFUNCTION("""COMPUTED_VALUE"""),"Eventos da Área")</f>
        <v>Eventos da Área</v>
      </c>
    </row>
    <row r="54">
      <c r="A54" s="68" t="str">
        <f>IFERROR(__xludf.DUMMYFUNCTION("""COMPUTED_VALUE"""),"Eventos da Área")</f>
        <v>Eventos da Área</v>
      </c>
    </row>
    <row r="55">
      <c r="A55" s="68" t="str">
        <f>IFERROR(__xludf.DUMMYFUNCTION("""COMPUTED_VALUE"""),"Eventos da Área")</f>
        <v>Eventos da Área</v>
      </c>
    </row>
    <row r="56">
      <c r="A56" s="68" t="str">
        <f>IFERROR(__xludf.DUMMYFUNCTION("""COMPUTED_VALUE"""),"Eventos da Área")</f>
        <v>Eventos da Área</v>
      </c>
    </row>
    <row r="57">
      <c r="A57" s="68" t="str">
        <f>IFERROR(__xludf.DUMMYFUNCTION("""COMPUTED_VALUE"""),"Eventos da Área")</f>
        <v>Eventos da Área</v>
      </c>
    </row>
    <row r="58">
      <c r="A58" s="68" t="str">
        <f>IFERROR(__xludf.DUMMYFUNCTION("""COMPUTED_VALUE"""),"Eventos da Área")</f>
        <v>Eventos da Área</v>
      </c>
    </row>
    <row r="59">
      <c r="A59" s="68" t="str">
        <f>IFERROR(__xludf.DUMMYFUNCTION("""COMPUTED_VALUE"""),"Eventos da Área")</f>
        <v>Eventos da Área</v>
      </c>
    </row>
    <row r="60">
      <c r="A60" s="68" t="str">
        <f>IFERROR(__xludf.DUMMYFUNCTION("""COMPUTED_VALUE"""),"Eventos da Área")</f>
        <v>Eventos da Área</v>
      </c>
    </row>
    <row r="61">
      <c r="A61" s="68" t="str">
        <f>IFERROR(__xludf.DUMMYFUNCTION("""COMPUTED_VALUE"""),"Eventos da Área")</f>
        <v>Eventos da Área</v>
      </c>
    </row>
    <row r="62">
      <c r="A62" s="68" t="str">
        <f>IFERROR(__xludf.DUMMYFUNCTION("""COMPUTED_VALUE"""),"Eventos da Área")</f>
        <v>Eventos da Área</v>
      </c>
    </row>
    <row r="63">
      <c r="A63" s="68" t="str">
        <f>IFERROR(__xludf.DUMMYFUNCTION("""COMPUTED_VALUE"""),"Eventos da Área")</f>
        <v>Eventos da Área</v>
      </c>
    </row>
    <row r="64">
      <c r="A64" s="68" t="str">
        <f>IFERROR(__xludf.DUMMYFUNCTION("""COMPUTED_VALUE"""),"Eventos da Área")</f>
        <v>Eventos da Área</v>
      </c>
    </row>
    <row r="65">
      <c r="A65" s="68" t="str">
        <f>IFERROR(__xludf.DUMMYFUNCTION("""COMPUTED_VALUE"""),"Eventos da Área")</f>
        <v>Eventos da Área</v>
      </c>
    </row>
    <row r="66">
      <c r="A66" s="68" t="str">
        <f>IFERROR(__xludf.DUMMYFUNCTION("""COMPUTED_VALUE"""),"Eventos da Área")</f>
        <v>Eventos da Área</v>
      </c>
    </row>
    <row r="67">
      <c r="A67" s="68" t="str">
        <f>IFERROR(__xludf.DUMMYFUNCTION("""COMPUTED_VALUE"""),"Eventos da Área")</f>
        <v>Eventos da Área</v>
      </c>
    </row>
    <row r="68">
      <c r="A68" s="68" t="str">
        <f>IFERROR(__xludf.DUMMYFUNCTION("""COMPUTED_VALUE"""),"Eventos da Área")</f>
        <v>Eventos da Área</v>
      </c>
    </row>
    <row r="69">
      <c r="A69" s="68" t="str">
        <f>IFERROR(__xludf.DUMMYFUNCTION("""COMPUTED_VALUE"""),"Eventos da Área")</f>
        <v>Eventos da Área</v>
      </c>
    </row>
    <row r="70">
      <c r="A70" s="68" t="str">
        <f>IFERROR(__xludf.DUMMYFUNCTION("""COMPUTED_VALUE"""),"Eventos da Área")</f>
        <v>Eventos da Área</v>
      </c>
    </row>
    <row r="71">
      <c r="A71" s="68" t="str">
        <f>IFERROR(__xludf.DUMMYFUNCTION("""COMPUTED_VALUE"""),"Eventos da Área")</f>
        <v>Eventos da Área</v>
      </c>
    </row>
    <row r="72">
      <c r="A72" s="68" t="str">
        <f>IFERROR(__xludf.DUMMYFUNCTION("""COMPUTED_VALUE"""),"Eventos da Área")</f>
        <v>Eventos da Área</v>
      </c>
    </row>
    <row r="73">
      <c r="A73" s="68" t="str">
        <f>IFERROR(__xludf.DUMMYFUNCTION("""COMPUTED_VALUE"""),"Eventos da Área")</f>
        <v>Eventos da Área</v>
      </c>
    </row>
    <row r="74">
      <c r="A74" s="68" t="str">
        <f>IFERROR(__xludf.DUMMYFUNCTION("""COMPUTED_VALUE"""),"Eventos da Área")</f>
        <v>Eventos da Área</v>
      </c>
    </row>
    <row r="75">
      <c r="A75" s="68" t="str">
        <f>IFERROR(__xludf.DUMMYFUNCTION("""COMPUTED_VALUE"""),"Eventos da Área")</f>
        <v>Eventos da Área</v>
      </c>
    </row>
    <row r="76">
      <c r="A76" s="68" t="str">
        <f>IFERROR(__xludf.DUMMYFUNCTION("""COMPUTED_VALUE"""),"Eventos da Área")</f>
        <v>Eventos da Área</v>
      </c>
    </row>
    <row r="77">
      <c r="A77" s="68" t="str">
        <f>IFERROR(__xludf.DUMMYFUNCTION("""COMPUTED_VALUE"""),"Eventos da Área")</f>
        <v>Eventos da Área</v>
      </c>
    </row>
    <row r="78">
      <c r="A78" s="68" t="str">
        <f>IFERROR(__xludf.DUMMYFUNCTION("""COMPUTED_VALUE"""),"Eventos da Área")</f>
        <v>Eventos da Área</v>
      </c>
    </row>
    <row r="79">
      <c r="A79" s="68" t="str">
        <f>IFERROR(__xludf.DUMMYFUNCTION("""COMPUTED_VALUE"""),"Eventos da Área")</f>
        <v>Eventos da Área</v>
      </c>
    </row>
    <row r="80">
      <c r="A80" s="68" t="str">
        <f>IFERROR(__xludf.DUMMYFUNCTION("""COMPUTED_VALUE"""),"Eventos da Área")</f>
        <v>Eventos da Área</v>
      </c>
    </row>
    <row r="81">
      <c r="A81" s="68" t="str">
        <f>IFERROR(__xludf.DUMMYFUNCTION("""COMPUTED_VALUE"""),"Eventos da Área")</f>
        <v>Eventos da Área</v>
      </c>
    </row>
    <row r="82">
      <c r="A82" s="68" t="str">
        <f>IFERROR(__xludf.DUMMYFUNCTION("""COMPUTED_VALUE"""),"Eventos da Área")</f>
        <v>Eventos da Área</v>
      </c>
    </row>
    <row r="83">
      <c r="A83" s="68" t="str">
        <f>IFERROR(__xludf.DUMMYFUNCTION("""COMPUTED_VALUE"""),"Eventos da Área")</f>
        <v>Eventos da Área</v>
      </c>
    </row>
    <row r="84">
      <c r="A84" s="68" t="str">
        <f>IFERROR(__xludf.DUMMYFUNCTION("""COMPUTED_VALUE"""),"Eventos da Área")</f>
        <v>Eventos da Área</v>
      </c>
    </row>
    <row r="85">
      <c r="A85" s="68" t="str">
        <f>IFERROR(__xludf.DUMMYFUNCTION("""COMPUTED_VALUE"""),"Eventos da Área")</f>
        <v>Eventos da Área</v>
      </c>
    </row>
    <row r="86">
      <c r="A86" s="68" t="str">
        <f>IFERROR(__xludf.DUMMYFUNCTION("""COMPUTED_VALUE"""),"Eventos da Área")</f>
        <v>Eventos da Área</v>
      </c>
    </row>
    <row r="87">
      <c r="A87" s="68" t="str">
        <f>IFERROR(__xludf.DUMMYFUNCTION("""COMPUTED_VALUE"""),"Eventos da Área")</f>
        <v>Eventos da Área</v>
      </c>
    </row>
    <row r="88">
      <c r="A88" s="68" t="str">
        <f>IFERROR(__xludf.DUMMYFUNCTION("""COMPUTED_VALUE"""),"Eventos da Área")</f>
        <v>Eventos da Área</v>
      </c>
    </row>
    <row r="89">
      <c r="A89" s="68" t="str">
        <f>IFERROR(__xludf.DUMMYFUNCTION("""COMPUTED_VALUE"""),"Eventos da Área")</f>
        <v>Eventos da Área</v>
      </c>
    </row>
    <row r="90">
      <c r="A90" s="68" t="str">
        <f>IFERROR(__xludf.DUMMYFUNCTION("""COMPUTED_VALUE"""),"Eventos da Área")</f>
        <v>Eventos da Área</v>
      </c>
    </row>
    <row r="91">
      <c r="A91" s="68" t="str">
        <f>IFERROR(__xludf.DUMMYFUNCTION("""COMPUTED_VALUE"""),"Eventos da Área")</f>
        <v>Eventos da Área</v>
      </c>
    </row>
    <row r="92">
      <c r="A92" s="68" t="str">
        <f>IFERROR(__xludf.DUMMYFUNCTION("""COMPUTED_VALUE"""),"Eventos da Área")</f>
        <v>Eventos da Área</v>
      </c>
    </row>
    <row r="93">
      <c r="A93" s="68" t="str">
        <f>IFERROR(__xludf.DUMMYFUNCTION("""COMPUTED_VALUE"""),"Eventos da Área")</f>
        <v>Eventos da Área</v>
      </c>
    </row>
    <row r="94">
      <c r="A94" s="68" t="str">
        <f>IFERROR(__xludf.DUMMYFUNCTION("""COMPUTED_VALUE"""),"Eventos da Área")</f>
        <v>Eventos da Área</v>
      </c>
    </row>
    <row r="95">
      <c r="A95" s="68" t="str">
        <f>IFERROR(__xludf.DUMMYFUNCTION("""COMPUTED_VALUE"""),"Eventos da Área")</f>
        <v>Eventos da Área</v>
      </c>
    </row>
    <row r="96">
      <c r="A96" s="68" t="str">
        <f>IFERROR(__xludf.DUMMYFUNCTION("""COMPUTED_VALUE"""),"Eventos da Área")</f>
        <v>Eventos da Área</v>
      </c>
    </row>
    <row r="97">
      <c r="A97" s="68" t="str">
        <f>IFERROR(__xludf.DUMMYFUNCTION("""COMPUTED_VALUE"""),"Eventos da Área")</f>
        <v>Eventos da Área</v>
      </c>
    </row>
    <row r="98">
      <c r="A98" s="68" t="str">
        <f>IFERROR(__xludf.DUMMYFUNCTION("""COMPUTED_VALUE"""),"Eventos da Área")</f>
        <v>Eventos da Área</v>
      </c>
    </row>
    <row r="99">
      <c r="A99" s="68" t="str">
        <f>IFERROR(__xludf.DUMMYFUNCTION("""COMPUTED_VALUE"""),"Eventos da Área")</f>
        <v>Eventos da Área</v>
      </c>
    </row>
    <row r="100">
      <c r="A100" s="68" t="str">
        <f>IFERROR(__xludf.DUMMYFUNCTION("""COMPUTED_VALUE"""),"Eventos da Área")</f>
        <v>Eventos da Área</v>
      </c>
    </row>
    <row r="101">
      <c r="A101" s="68" t="str">
        <f>IFERROR(__xludf.DUMMYFUNCTION("""COMPUTED_VALUE"""),"Eventos da Área")</f>
        <v>Eventos da Área</v>
      </c>
    </row>
  </sheetData>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s>
  <drawing r:id="rId12"/>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79.0"/>
    <col customWidth="1" min="7" max="7" width="35.63"/>
    <col customWidth="1" min="8" max="8" width="29.75"/>
    <col customWidth="1" min="9" max="9" width="37.13"/>
    <col customWidth="1" min="10" max="10" width="37.5"/>
  </cols>
  <sheetData>
    <row r="1">
      <c r="A1" s="1" t="str">
        <f>IFERROR(__xludf.DUMMYFUNCTION("importrange(""https://docs.google.com/spreadsheets/d/1apJFkr7alCnhfcTi0yGnqmk5duu8dLyQj8TZp0Om7ds/edit#gid=984524390"",""CE-CM!A1:J150"")"),"TOP")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58" t="str">
        <f>IFERROR(__xludf.DUMMYFUNCTION("""COMPUTED_VALUE"""),"Top 10")</f>
        <v>Top 10</v>
      </c>
      <c r="B2" s="150" t="str">
        <f>IFERROR(__xludf.DUMMYFUNCTION("""COMPUTED_VALUE"""),"ICASSP")</f>
        <v>ICASSP</v>
      </c>
      <c r="C2" s="151" t="str">
        <f>IFERROR(__xludf.DUMMYFUNCTION("""COMPUTED_VALUE"""),"International Conference on Acoustics, Speech and Signal Processing")</f>
        <v>International Conference on Acoustics, Speech and Signal Processing</v>
      </c>
      <c r="D2" s="152">
        <f>IFERROR(__xludf.DUMMYFUNCTION("""COMPUTED_VALUE"""),80.0)</f>
        <v>80</v>
      </c>
      <c r="E2" s="147" t="str">
        <f>IFERROR(__xludf.DUMMYFUNCTION("""COMPUTED_VALUE"""),"https://scholar.google.com/citations?hl=en&amp;view_op=search_venues&amp;vq=icassp&amp;btnG=")</f>
        <v>https://scholar.google.com/citations?hl=en&amp;view_op=search_venues&amp;vq=icassp&amp;btnG=</v>
      </c>
      <c r="F2" s="153"/>
    </row>
    <row r="3">
      <c r="A3" s="58" t="str">
        <f>IFERROR(__xludf.DUMMYFUNCTION("""COMPUTED_VALUE"""),"Top 10")</f>
        <v>Top 10</v>
      </c>
      <c r="B3" s="150" t="str">
        <f>IFERROR(__xludf.DUMMYFUNCTION("""COMPUTED_VALUE"""),"ISMIR")</f>
        <v>ISMIR</v>
      </c>
      <c r="C3" s="151" t="str">
        <f>IFERROR(__xludf.DUMMYFUNCTION("""COMPUTED_VALUE"""),"International Society for Music Information Retrieval Conference")</f>
        <v>International Society for Music Information Retrieval Conference</v>
      </c>
      <c r="D3" s="152">
        <f>IFERROR(__xludf.DUMMYFUNCTION("""COMPUTED_VALUE"""),32.0)</f>
        <v>32</v>
      </c>
      <c r="E3" s="147" t="str">
        <f>IFERROR(__xludf.DUMMYFUNCTION("""COMPUTED_VALUE"""),"https://scholar.google.com/citations?hl=en&amp;view_op=search_venues&amp;vq=international+society+for+music+information+retrieval+conference&amp;btnG=")</f>
        <v>https://scholar.google.com/citations?hl=en&amp;view_op=search_venues&amp;vq=international+society+for+music+information+retrieval+conference&amp;btnG=</v>
      </c>
      <c r="F3" s="153"/>
    </row>
    <row r="4">
      <c r="A4" s="58" t="str">
        <f>IFERROR(__xludf.DUMMYFUNCTION("""COMPUTED_VALUE"""),"Top 10")</f>
        <v>Top 10</v>
      </c>
      <c r="B4" s="150" t="str">
        <f>IFERROR(__xludf.DUMMYFUNCTION("""COMPUTED_VALUE"""),"NIME")</f>
        <v>NIME</v>
      </c>
      <c r="C4" s="151" t="str">
        <f>IFERROR(__xludf.DUMMYFUNCTION("""COMPUTED_VALUE"""),"International Conference on New Interfaces for Musical Expression")</f>
        <v>International Conference on New Interfaces for Musical Expression</v>
      </c>
      <c r="D4" s="152">
        <f>IFERROR(__xludf.DUMMYFUNCTION("""COMPUTED_VALUE"""),18.0)</f>
        <v>18</v>
      </c>
      <c r="E4" s="147" t="str">
        <f>IFERROR(__xludf.DUMMYFUNCTION("""COMPUTED_VALUE"""),"https://scholar.google.com/citations?hl=en&amp;view_op=search_venues&amp;vq=NIME&amp;btnG=")</f>
        <v>https://scholar.google.com/citations?hl=en&amp;view_op=search_venues&amp;vq=NIME&amp;btnG=</v>
      </c>
      <c r="F4" s="153"/>
    </row>
    <row r="5">
      <c r="A5" s="58" t="str">
        <f>IFERROR(__xludf.DUMMYFUNCTION("""COMPUTED_VALUE"""),"Top 10")</f>
        <v>Top 10</v>
      </c>
      <c r="B5" s="150" t="str">
        <f>IFERROR(__xludf.DUMMYFUNCTION("""COMPUTED_VALUE"""),"ICMC")</f>
        <v>ICMC</v>
      </c>
      <c r="C5" s="151" t="str">
        <f>IFERROR(__xludf.DUMMYFUNCTION("""COMPUTED_VALUE"""),"International Computer Music Conference")</f>
        <v>International Computer Music Conference</v>
      </c>
      <c r="D5" s="152">
        <f>IFERROR(__xludf.DUMMYFUNCTION("""COMPUTED_VALUE"""),15.0)</f>
        <v>15</v>
      </c>
      <c r="E5" s="147" t="str">
        <f>IFERROR(__xludf.DUMMYFUNCTION("""COMPUTED_VALUE"""),"https://scholar.google.com/citations?hl=en&amp;view_op=search_venues&amp;vq=international+computer+music+conference&amp;btnG=")</f>
        <v>https://scholar.google.com/citations?hl=en&amp;view_op=search_venues&amp;vq=international+computer+music+conference&amp;btnG=</v>
      </c>
      <c r="F5" s="153"/>
    </row>
    <row r="6">
      <c r="A6" s="58" t="str">
        <f>IFERROR(__xludf.DUMMYFUNCTION("""COMPUTED_VALUE"""),"Top 10")</f>
        <v>Top 10</v>
      </c>
      <c r="B6" s="150" t="str">
        <f>IFERROR(__xludf.DUMMYFUNCTION("""COMPUTED_VALUE"""),"SMC")</f>
        <v>SMC</v>
      </c>
      <c r="C6" s="151" t="str">
        <f>IFERROR(__xludf.DUMMYFUNCTION("""COMPUTED_VALUE"""),"Sound and Music Computing Conference")</f>
        <v>Sound and Music Computing Conference</v>
      </c>
      <c r="D6" s="150" t="str">
        <f>IFERROR(__xludf.DUMMYFUNCTION("""COMPUTED_VALUE"""),"não tem")</f>
        <v>não tem</v>
      </c>
      <c r="E6" s="57"/>
      <c r="F6" s="153"/>
    </row>
    <row r="7">
      <c r="A7" s="58" t="str">
        <f>IFERROR(__xludf.DUMMYFUNCTION("""COMPUTED_VALUE"""),"Top 10")</f>
        <v>Top 10</v>
      </c>
      <c r="B7" s="150" t="str">
        <f>IFERROR(__xludf.DUMMYFUNCTION("""COMPUTED_VALUE"""),"DAFX")</f>
        <v>DAFX</v>
      </c>
      <c r="C7" s="151" t="str">
        <f>IFERROR(__xludf.DUMMYFUNCTION("""COMPUTED_VALUE"""),"International Conference on Digital Audio Effects")</f>
        <v>International Conference on Digital Audio Effects</v>
      </c>
      <c r="D7" s="150" t="str">
        <f>IFERROR(__xludf.DUMMYFUNCTION("""COMPUTED_VALUE"""),"não tem")</f>
        <v>não tem</v>
      </c>
      <c r="E7" s="147" t="str">
        <f>IFERROR(__xludf.DUMMYFUNCTION("""COMPUTED_VALUE"""),"http://dafx2019.bcu.ac.uk/")</f>
        <v>http://dafx2019.bcu.ac.uk/</v>
      </c>
      <c r="F7" s="153"/>
    </row>
    <row r="8">
      <c r="A8" s="58" t="str">
        <f>IFERROR(__xludf.DUMMYFUNCTION("""COMPUTED_VALUE"""),"Top 10")</f>
        <v>Top 10</v>
      </c>
      <c r="B8" s="150" t="str">
        <f>IFERROR(__xludf.DUMMYFUNCTION("""COMPUTED_VALUE"""),"WASPAA")</f>
        <v>WASPAA</v>
      </c>
      <c r="C8" s="151" t="str">
        <f>IFERROR(__xludf.DUMMYFUNCTION("""COMPUTED_VALUE"""),"IEEE Workshop on Applications of Signal Processing to Audio and Acoustics")</f>
        <v>IEEE Workshop on Applications of Signal Processing to Audio and Acoustics</v>
      </c>
      <c r="D8" s="152">
        <f>IFERROR(__xludf.DUMMYFUNCTION("""COMPUTED_VALUE"""),15.0)</f>
        <v>15</v>
      </c>
      <c r="E8" s="147" t="str">
        <f>IFERROR(__xludf.DUMMYFUNCTION("""COMPUTED_VALUE"""),"https://scholar.google.com/citations?hl=en&amp;view_op=search_venues&amp;vq=IEEE+Workshop+on+Applications+of+Signal+Processing+to+Audio+and+Acoustics&amp;btnG=")</f>
        <v>https://scholar.google.com/citations?hl=en&amp;view_op=search_venues&amp;vq=IEEE+Workshop+on+Applications+of+Signal+Processing+to+Audio+and+Acoustics&amp;btnG=</v>
      </c>
      <c r="F8" s="153"/>
    </row>
    <row r="9">
      <c r="A9" s="58" t="str">
        <f>IFERROR(__xludf.DUMMYFUNCTION("""COMPUTED_VALUE"""),"Top 10")</f>
        <v>Top 10</v>
      </c>
      <c r="B9" s="150" t="str">
        <f>IFERROR(__xludf.DUMMYFUNCTION("""COMPUTED_VALUE"""),"ISM")</f>
        <v>ISM</v>
      </c>
      <c r="C9" s="151" t="str">
        <f>IFERROR(__xludf.DUMMYFUNCTION("""COMPUTED_VALUE"""),"IEEE International Symposium on Multimedia")</f>
        <v>IEEE International Symposium on Multimedia</v>
      </c>
      <c r="D9" s="152">
        <f>IFERROR(__xludf.DUMMYFUNCTION("""COMPUTED_VALUE"""),15.0)</f>
        <v>15</v>
      </c>
      <c r="E9" s="147" t="str">
        <f>IFERROR(__xludf.DUMMYFUNCTION("""COMPUTED_VALUE"""),"https://scholar.google.com/citations?hl=en&amp;view_op=search_venues&amp;vq=IEEE+international+symposium+on+multimedia&amp;btnG=")</f>
        <v>https://scholar.google.com/citations?hl=en&amp;view_op=search_venues&amp;vq=IEEE+international+symposium+on+multimedia&amp;btnG=</v>
      </c>
      <c r="F9" s="153"/>
    </row>
    <row r="10">
      <c r="A10" s="58" t="str">
        <f>IFERROR(__xludf.DUMMYFUNCTION("""COMPUTED_VALUE"""),"Top 10")</f>
        <v>Top 10</v>
      </c>
      <c r="B10" s="150" t="str">
        <f>IFERROR(__xludf.DUMMYFUNCTION("""COMPUTED_VALUE"""),"SBCM")</f>
        <v>SBCM</v>
      </c>
      <c r="C10" s="151" t="str">
        <f>IFERROR(__xludf.DUMMYFUNCTION("""COMPUTED_VALUE"""),"Simpósio Brasileiro de Computação Musical")</f>
        <v>Simpósio Brasileiro de Computação Musical</v>
      </c>
      <c r="D10" s="150" t="str">
        <f>IFERROR(__xludf.DUMMYFUNCTION("""COMPUTED_VALUE"""),"não tem")</f>
        <v>não tem</v>
      </c>
      <c r="E10" s="147" t="str">
        <f>IFERROR(__xludf.DUMMYFUNCTION("""COMPUTED_VALUE"""),"http://compmus.ime.usp.br/sbcm/")</f>
        <v>http://compmus.ime.usp.br/sbcm/</v>
      </c>
      <c r="F10" s="153"/>
    </row>
    <row r="11">
      <c r="A11" s="58" t="str">
        <f>IFERROR(__xludf.DUMMYFUNCTION("""COMPUTED_VALUE"""),"Top 10")</f>
        <v>Top 10</v>
      </c>
      <c r="B11" s="150" t="str">
        <f>IFERROR(__xludf.DUMMYFUNCTION("""COMPUTED_VALUE"""),"CMMR")</f>
        <v>CMMR</v>
      </c>
      <c r="C11" s="151" t="str">
        <f>IFERROR(__xludf.DUMMYFUNCTION("""COMPUTED_VALUE"""),"International Symposium on Computer Music Multidisciplinary Research")</f>
        <v>International Symposium on Computer Music Multidisciplinary Research</v>
      </c>
      <c r="D11" s="150" t="str">
        <f>IFERROR(__xludf.DUMMYFUNCTION("""COMPUTED_VALUE"""),"não tem")</f>
        <v>não tem</v>
      </c>
      <c r="E11" s="147" t="str">
        <f>IFERROR(__xludf.DUMMYFUNCTION("""COMPUTED_VALUE"""),"https://cmmr2019.prism.cnrs.fr/")</f>
        <v>https://cmmr2019.prism.cnrs.fr/</v>
      </c>
      <c r="F11" s="153"/>
    </row>
    <row r="12">
      <c r="A12" s="65" t="str">
        <f>IFERROR(__xludf.DUMMYFUNCTION("""COMPUTED_VALUE"""),"Top 20")</f>
        <v>Top 20</v>
      </c>
      <c r="B12" s="150" t="str">
        <f>IFERROR(__xludf.DUMMYFUNCTION("""COMPUTED_VALUE"""),"AES")</f>
        <v>AES</v>
      </c>
      <c r="C12" s="151" t="str">
        <f>IFERROR(__xludf.DUMMYFUNCTION("""COMPUTED_VALUE"""),"International Convention of the Audio Engineering Society")</f>
        <v>International Convention of the Audio Engineering Society</v>
      </c>
      <c r="D12" s="150" t="str">
        <f>IFERROR(__xludf.DUMMYFUNCTION("""COMPUTED_VALUE"""),"não tem")</f>
        <v>não tem</v>
      </c>
      <c r="E12" s="147" t="str">
        <f>IFERROR(__xludf.DUMMYFUNCTION("""COMPUTED_VALUE"""),"http://aes.19annualmeeting.com/")</f>
        <v>http://aes.19annualmeeting.com/</v>
      </c>
      <c r="F12" s="153"/>
    </row>
    <row r="13">
      <c r="A13" s="65" t="str">
        <f>IFERROR(__xludf.DUMMYFUNCTION("""COMPUTED_VALUE"""),"Top 20")</f>
        <v>Top 20</v>
      </c>
      <c r="B13" s="103" t="str">
        <f>IFERROR(__xludf.DUMMYFUNCTION("""COMPUTED_VALUE"""),"ICMPC")</f>
        <v>ICMPC</v>
      </c>
      <c r="C13" s="103" t="str">
        <f>IFERROR(__xludf.DUMMYFUNCTION("""COMPUTED_VALUE"""),"International Conference on Music Perception and Cognition")</f>
        <v>International Conference on Music Perception and Cognition</v>
      </c>
      <c r="D13" s="150" t="str">
        <f>IFERROR(__xludf.DUMMYFUNCTION("""COMPUTED_VALUE"""),"não tem")</f>
        <v>não tem</v>
      </c>
      <c r="E13" s="154" t="str">
        <f>IFERROR(__xludf.DUMMYFUNCTION("""COMPUTED_VALUE"""),"http://www.icmpc.org/icmpc_history.html")</f>
        <v>http://www.icmpc.org/icmpc_history.html</v>
      </c>
      <c r="F13" s="153"/>
    </row>
    <row r="14">
      <c r="A14" s="65" t="str">
        <f>IFERROR(__xludf.DUMMYFUNCTION("""COMPUTED_VALUE"""),"Top 20")</f>
        <v>Top 20</v>
      </c>
      <c r="B14" s="150" t="str">
        <f>IFERROR(__xludf.DUMMYFUNCTION("""COMPUTED_VALUE"""),"LAC")</f>
        <v>LAC</v>
      </c>
      <c r="C14" s="151" t="str">
        <f>IFERROR(__xludf.DUMMYFUNCTION("""COMPUTED_VALUE"""),"Linux Audio Conference")</f>
        <v>Linux Audio Conference</v>
      </c>
      <c r="D14" s="150" t="str">
        <f>IFERROR(__xludf.DUMMYFUNCTION("""COMPUTED_VALUE"""),"não tem")</f>
        <v>não tem</v>
      </c>
      <c r="E14" s="147" t="str">
        <f>IFERROR(__xludf.DUMMYFUNCTION("""COMPUTED_VALUE"""),"https://lac.linuxaudio.org/2019/")</f>
        <v>https://lac.linuxaudio.org/2019/</v>
      </c>
      <c r="F14" s="153"/>
    </row>
    <row r="15">
      <c r="A15" s="65" t="str">
        <f>IFERROR(__xludf.DUMMYFUNCTION("""COMPUTED_VALUE"""),"Top 20")</f>
        <v>Top 20</v>
      </c>
      <c r="B15" s="150" t="str">
        <f>IFERROR(__xludf.DUMMYFUNCTION("""COMPUTED_VALUE"""),"WAC")</f>
        <v>WAC</v>
      </c>
      <c r="C15" s="151" t="str">
        <f>IFERROR(__xludf.DUMMYFUNCTION("""COMPUTED_VALUE"""),"Web Audio Conference")</f>
        <v>Web Audio Conference</v>
      </c>
      <c r="D15" s="150" t="str">
        <f>IFERROR(__xludf.DUMMYFUNCTION("""COMPUTED_VALUE"""),"não tem")</f>
        <v>não tem</v>
      </c>
      <c r="E15" s="147" t="str">
        <f>IFERROR(__xludf.DUMMYFUNCTION("""COMPUTED_VALUE"""),"https://www.ntnu.edu/wac2019")</f>
        <v>https://www.ntnu.edu/wac2019</v>
      </c>
      <c r="F15" s="153"/>
    </row>
    <row r="16">
      <c r="A16" s="65" t="str">
        <f>IFERROR(__xludf.DUMMYFUNCTION("""COMPUTED_VALUE"""),"Top 20")</f>
        <v>Top 20</v>
      </c>
      <c r="B16" s="150" t="str">
        <f>IFERROR(__xludf.DUMMYFUNCTION("""COMPUTED_VALUE"""),"ANPPOM")</f>
        <v>ANPPOM</v>
      </c>
      <c r="C16" s="151" t="str">
        <f>IFERROR(__xludf.DUMMYFUNCTION("""COMPUTED_VALUE"""),"Congresso da Associação Nacional de Pesquisa e Pós-Graduação em Música")</f>
        <v>Congresso da Associação Nacional de Pesquisa e Pós-Graduação em Música</v>
      </c>
      <c r="D16" s="150" t="str">
        <f>IFERROR(__xludf.DUMMYFUNCTION("""COMPUTED_VALUE"""),"não tem")</f>
        <v>não tem</v>
      </c>
      <c r="E16" s="147" t="str">
        <f>IFERROR(__xludf.DUMMYFUNCTION("""COMPUTED_VALUE"""),"https://anppom.com.br/noticias/xxix-congresso-da-anppom-2019/")</f>
        <v>https://anppom.com.br/noticias/xxix-congresso-da-anppom-2019/</v>
      </c>
      <c r="F16" s="153"/>
    </row>
    <row r="17">
      <c r="A17" s="65" t="str">
        <f>IFERROR(__xludf.DUMMYFUNCTION("""COMPUTED_VALUE"""),"Top 20")</f>
        <v>Top 20</v>
      </c>
      <c r="B17" s="150" t="str">
        <f>IFERROR(__xludf.DUMMYFUNCTION("""COMPUTED_VALUE"""),"AUDIOMOSTLY")</f>
        <v>AUDIOMOSTLY</v>
      </c>
      <c r="C17" s="151" t="str">
        <f>IFERROR(__xludf.DUMMYFUNCTION("""COMPUTED_VALUE"""),"Audio Mostly Conference")</f>
        <v>Audio Mostly Conference</v>
      </c>
      <c r="D17" s="152">
        <f>IFERROR(__xludf.DUMMYFUNCTION("""COMPUTED_VALUE"""),10.0)</f>
        <v>10</v>
      </c>
      <c r="E17" s="147" t="str">
        <f>IFERROR(__xludf.DUMMYFUNCTION("""COMPUTED_VALUE"""),"https://scholar.google.com/citations?hl=en&amp;view_op=search_venues&amp;vq=audiomostly&amp;btnG=")</f>
        <v>https://scholar.google.com/citations?hl=en&amp;view_op=search_venues&amp;vq=audiomostly&amp;btnG=</v>
      </c>
      <c r="F17" s="153"/>
    </row>
    <row r="18">
      <c r="A18" s="65" t="str">
        <f>IFERROR(__xludf.DUMMYFUNCTION("""COMPUTED_VALUE"""),"Top 20")</f>
        <v>Top 20</v>
      </c>
      <c r="B18" s="150" t="str">
        <f>IFERROR(__xludf.DUMMYFUNCTION("""COMPUTED_VALUE"""),"CSMC")</f>
        <v>CSMC</v>
      </c>
      <c r="C18" s="151" t="str">
        <f>IFERROR(__xludf.DUMMYFUNCTION("""COMPUTED_VALUE"""),"Conference on Computer Simulation of Musical Creativity")</f>
        <v>Conference on Computer Simulation of Musical Creativity</v>
      </c>
      <c r="D18" s="150" t="str">
        <f>IFERROR(__xludf.DUMMYFUNCTION("""COMPUTED_VALUE"""),"não tem")</f>
        <v>não tem</v>
      </c>
      <c r="E18" s="147" t="str">
        <f>IFERROR(__xludf.DUMMYFUNCTION("""COMPUTED_VALUE"""),"https://csmc2018.wordpress.com/")</f>
        <v>https://csmc2018.wordpress.com/</v>
      </c>
      <c r="F18" s="153"/>
    </row>
    <row r="19">
      <c r="A19" s="65" t="str">
        <f>IFERROR(__xludf.DUMMYFUNCTION("""COMPUTED_VALUE"""),"Top 20")</f>
        <v>Top 20</v>
      </c>
      <c r="B19" s="150" t="str">
        <f>IFERROR(__xludf.DUMMYFUNCTION("""COMPUTED_VALUE"""),"ICSC")</f>
        <v>ICSC</v>
      </c>
      <c r="C19" s="151" t="str">
        <f>IFERROR(__xludf.DUMMYFUNCTION("""COMPUTED_VALUE"""),"International CSound Conference")</f>
        <v>International CSound Conference</v>
      </c>
      <c r="D19" s="150" t="str">
        <f>IFERROR(__xludf.DUMMYFUNCTION("""COMPUTED_VALUE"""),"não tem")</f>
        <v>não tem</v>
      </c>
      <c r="E19" s="147" t="str">
        <f>IFERROR(__xludf.DUMMYFUNCTION("""COMPUTED_VALUE"""),"https://csound.com/icsc2019/")</f>
        <v>https://csound.com/icsc2019/</v>
      </c>
      <c r="F19" s="153"/>
    </row>
    <row r="20">
      <c r="A20" s="65" t="str">
        <f>IFERROR(__xludf.DUMMYFUNCTION("""COMPUTED_VALUE"""),"Top 20")</f>
        <v>Top 20</v>
      </c>
      <c r="B20" s="150" t="str">
        <f>IFERROR(__xludf.DUMMYFUNCTION("""COMPUTED_VALUE"""),"MMRP")</f>
        <v>MMRP</v>
      </c>
      <c r="C20" s="103" t="str">
        <f>IFERROR(__xludf.DUMMYFUNCTION("""COMPUTED_VALUE"""),"International Workshop on Multilayer Music Representation and Processing")</f>
        <v>International Workshop on Multilayer Music Representation and Processing</v>
      </c>
      <c r="D20" s="150" t="str">
        <f>IFERROR(__xludf.DUMMYFUNCTION("""COMPUTED_VALUE"""),"não tem")</f>
        <v>não tem</v>
      </c>
      <c r="E20" s="147" t="str">
        <f>IFERROR(__xludf.DUMMYFUNCTION("""COMPUTED_VALUE"""),"http://mmrp19.di.unimi.it/")</f>
        <v>http://mmrp19.di.unimi.it/</v>
      </c>
      <c r="F20" s="153"/>
    </row>
    <row r="21">
      <c r="A21" s="65" t="str">
        <f>IFERROR(__xludf.DUMMYFUNCTION("""COMPUTED_VALUE"""),"Top 20")</f>
        <v>Top 20</v>
      </c>
      <c r="B21" s="150" t="str">
        <f>IFERROR(__xludf.DUMMYFUNCTION("""COMPUTED_VALUE"""),"AES-ICSA")</f>
        <v>AES-ICSA</v>
      </c>
      <c r="C21" s="151" t="str">
        <f>IFERROR(__xludf.DUMMYFUNCTION("""COMPUTED_VALUE"""),"AES International Conference on Semantic Audio")</f>
        <v>AES International Conference on Semantic Audio</v>
      </c>
      <c r="D21" s="150" t="str">
        <f>IFERROR(__xludf.DUMMYFUNCTION("""COMPUTED_VALUE"""),"não tem")</f>
        <v>não tem</v>
      </c>
      <c r="E21" s="155" t="str">
        <f>IFERROR(__xludf.DUMMYFUNCTION("""COMPUTED_VALUE"""),"http://www.aes.org/conferences/2017/semantic/")</f>
        <v>http://www.aes.org/conferences/2017/semantic/</v>
      </c>
      <c r="F21" s="153"/>
    </row>
    <row r="22">
      <c r="A22" s="68" t="str">
        <f>IFERROR(__xludf.DUMMYFUNCTION("""COMPUTED_VALUE"""),"Eventos da Área")</f>
        <v>Eventos da Área</v>
      </c>
      <c r="B22" s="156" t="str">
        <f>IFERROR(__xludf.DUMMYFUNCTION("""COMPUTED_VALUE"""),"AES Brasil")</f>
        <v>AES Brasil</v>
      </c>
      <c r="C22" s="149" t="str">
        <f>IFERROR(__xludf.DUMMYFUNCTION("""COMPUTED_VALUE"""),"Congresso de Engenharia de Áudio da Audio Engineering Society Brasil.")</f>
        <v>Congresso de Engenharia de Áudio da Audio Engineering Society Brasil.</v>
      </c>
      <c r="D22" s="150" t="str">
        <f>IFERROR(__xludf.DUMMYFUNCTION("""COMPUTED_VALUE"""),"não tem")</f>
        <v>não tem</v>
      </c>
      <c r="E22" s="157" t="str">
        <f>IFERROR(__xludf.DUMMYFUNCTION("""COMPUTED_VALUE"""),"http://aesbrasil.org.br/eventos/")</f>
        <v>http://aesbrasil.org.br/eventos/</v>
      </c>
      <c r="F22" s="158"/>
    </row>
    <row r="23">
      <c r="A23" s="68" t="str">
        <f>IFERROR(__xludf.DUMMYFUNCTION("""COMPUTED_VALUE"""),"Eventos da Área")</f>
        <v>Eventos da Área</v>
      </c>
      <c r="B23" s="150" t="str">
        <f>IFERROR(__xludf.DUMMYFUNCTION("""COMPUTED_VALUE"""),"UBIMUS")</f>
        <v>UBIMUS</v>
      </c>
      <c r="C23" s="159" t="str">
        <f>IFERROR(__xludf.DUMMYFUNCTION("""COMPUTED_VALUE"""),"Workshop de Música Ubíqua")</f>
        <v>Workshop de Música Ubíqua</v>
      </c>
      <c r="D23" s="150" t="str">
        <f>IFERROR(__xludf.DUMMYFUNCTION("""COMPUTED_VALUE"""),"não tem")</f>
        <v>não tem</v>
      </c>
      <c r="E23" s="155" t="str">
        <f>IFERROR(__xludf.DUMMYFUNCTION("""COMPUTED_VALUE"""),"https://alice.dcomp.ufsj.edu.br/ubimus/")</f>
        <v>https://alice.dcomp.ufsj.edu.br/ubimus/</v>
      </c>
      <c r="F23" s="153"/>
    </row>
    <row r="24">
      <c r="A24" s="68" t="str">
        <f>IFERROR(__xludf.DUMMYFUNCTION("""COMPUTED_VALUE"""),"Eventos da Área")</f>
        <v>Eventos da Área</v>
      </c>
      <c r="B24" s="160" t="str">
        <f>IFERROR(__xludf.DUMMYFUNCTION("""COMPUTED_VALUE"""),"DCASE")</f>
        <v>DCASE</v>
      </c>
      <c r="C24" s="160" t="str">
        <f>IFERROR(__xludf.DUMMYFUNCTION("""COMPUTED_VALUE"""),"Workshop on Detection and Classification of Acoustic Scenes and Events")</f>
        <v>Workshop on Detection and Classification of Acoustic Scenes and Events</v>
      </c>
      <c r="D24" s="150" t="str">
        <f>IFERROR(__xludf.DUMMYFUNCTION("""COMPUTED_VALUE"""),"não tem")</f>
        <v>não tem</v>
      </c>
      <c r="E24" s="155" t="str">
        <f>IFERROR(__xludf.DUMMYFUNCTION("""COMPUTED_VALUE"""),"http://dcase.community/")</f>
        <v>http://dcase.community/</v>
      </c>
      <c r="F24" s="153"/>
    </row>
    <row r="25">
      <c r="A25" s="68" t="str">
        <f>IFERROR(__xludf.DUMMYFUNCTION("""COMPUTED_VALUE"""),"Eventos da Área")</f>
        <v>Eventos da Área</v>
      </c>
      <c r="B25" s="150" t="str">
        <f>IFERROR(__xludf.DUMMYFUNCTION("""COMPUTED_VALUE"""),"TIMBRE")</f>
        <v>TIMBRE</v>
      </c>
      <c r="C25" s="150" t="str">
        <f>IFERROR(__xludf.DUMMYFUNCTION("""COMPUTED_VALUE"""),"Interdisciplinary Workshop on Timbre")</f>
        <v>Interdisciplinary Workshop on Timbre</v>
      </c>
      <c r="D25" s="150" t="str">
        <f>IFERROR(__xludf.DUMMYFUNCTION("""COMPUTED_VALUE"""),"não tem")</f>
        <v>não tem</v>
      </c>
      <c r="E25" s="154" t="str">
        <f>IFERROR(__xludf.DUMMYFUNCTION("""COMPUTED_VALUE"""),"http://www.timbre2017.tu-berlin.de/")</f>
        <v>http://www.timbre2017.tu-berlin.de/</v>
      </c>
      <c r="F25" s="153"/>
    </row>
    <row r="26">
      <c r="A26" s="68" t="str">
        <f>IFERROR(__xludf.DUMMYFUNCTION("""COMPUTED_VALUE"""),"Eventos da Área")</f>
        <v>Eventos da Área</v>
      </c>
      <c r="B26" s="150" t="str">
        <f>IFERROR(__xludf.DUMMYFUNCTION("""COMPUTED_VALUE"""),"MCM")</f>
        <v>MCM</v>
      </c>
      <c r="C26" s="151" t="str">
        <f>IFERROR(__xludf.DUMMYFUNCTION("""COMPUTED_VALUE"""),"International Conference on Mathematics and Computation in Music")</f>
        <v>International Conference on Mathematics and Computation in Music</v>
      </c>
      <c r="D26" s="150" t="str">
        <f>IFERROR(__xludf.DUMMYFUNCTION("""COMPUTED_VALUE"""),"não tem")</f>
        <v>não tem</v>
      </c>
      <c r="E26" s="154" t="str">
        <f>IFERROR(__xludf.DUMMYFUNCTION("""COMPUTED_VALUE"""),"http://www.smcm-net.info/")</f>
        <v>http://www.smcm-net.info/</v>
      </c>
      <c r="F26" s="153"/>
    </row>
    <row r="27">
      <c r="A27" s="68" t="str">
        <f>IFERROR(__xludf.DUMMYFUNCTION("""COMPUTED_VALUE"""),"Eventos da Área")</f>
        <v>Eventos da Área</v>
      </c>
      <c r="B27" s="150" t="str">
        <f>IFERROR(__xludf.DUMMYFUNCTION("""COMPUTED_VALUE"""),"ICPME")</f>
        <v>ICPME</v>
      </c>
      <c r="C27" s="151" t="str">
        <f>IFERROR(__xludf.DUMMYFUNCTION("""COMPUTED_VALUE"""),"International Conference on Philosophy, Music and Emotion")</f>
        <v>International Conference on Philosophy, Music and Emotion</v>
      </c>
      <c r="D27" s="150" t="str">
        <f>IFERROR(__xludf.DUMMYFUNCTION("""COMPUTED_VALUE"""),"não tem")</f>
        <v>não tem</v>
      </c>
      <c r="E27" s="155" t="str">
        <f>IFERROR(__xludf.DUMMYFUNCTION("""COMPUTED_VALUE"""),"https://waset.org/conference/2019/01/zurich/icpme")</f>
        <v>https://waset.org/conference/2019/01/zurich/icpme</v>
      </c>
      <c r="F27" s="153"/>
    </row>
    <row r="28">
      <c r="A28" s="68" t="str">
        <f>IFERROR(__xludf.DUMMYFUNCTION("""COMPUTED_VALUE"""),"Eventos da Área")</f>
        <v>Eventos da Área</v>
      </c>
      <c r="B28" s="150" t="str">
        <f>IFERROR(__xludf.DUMMYFUNCTION("""COMPUTED_VALUE"""),"SYSMUS")</f>
        <v>SYSMUS</v>
      </c>
      <c r="C28" s="151" t="str">
        <f>IFERROR(__xludf.DUMMYFUNCTION("""COMPUTED_VALUE"""),"International Conference of Students of Systematic Musicology")</f>
        <v>International Conference of Students of Systematic Musicology</v>
      </c>
      <c r="D28" s="150" t="str">
        <f>IFERROR(__xludf.DUMMYFUNCTION("""COMPUTED_VALUE"""),"não tem")</f>
        <v>não tem</v>
      </c>
      <c r="E28" s="155" t="str">
        <f>IFERROR(__xludf.DUMMYFUNCTION("""COMPUTED_VALUE"""),"https://sites.google.com/site/sysmusconference/sysmus-logo")</f>
        <v>https://sites.google.com/site/sysmusconference/sysmus-logo</v>
      </c>
      <c r="F28" s="153"/>
    </row>
    <row r="29">
      <c r="A29" s="68" t="str">
        <f>IFERROR(__xludf.DUMMYFUNCTION("""COMPUTED_VALUE"""),"Eventos da Área")</f>
        <v>Eventos da Área</v>
      </c>
    </row>
    <row r="30">
      <c r="A30" s="68" t="str">
        <f>IFERROR(__xludf.DUMMYFUNCTION("""COMPUTED_VALUE"""),"Eventos da Área")</f>
        <v>Eventos da Área</v>
      </c>
    </row>
    <row r="31">
      <c r="A31" s="68" t="str">
        <f>IFERROR(__xludf.DUMMYFUNCTION("""COMPUTED_VALUE"""),"Eventos da Área")</f>
        <v>Eventos da Área</v>
      </c>
      <c r="C31" s="1" t="str">
        <f>IFERROR(__xludf.DUMMYFUNCTION("""COMPUTED_VALUE"""),"Considerações sobre a lista elaborada:")</f>
        <v>Considerações sobre a lista elaborada:</v>
      </c>
    </row>
    <row r="32">
      <c r="A32" s="68" t="str">
        <f>IFERROR(__xludf.DUMMYFUNCTION("""COMPUTED_VALUE"""),"Eventos da Área")</f>
        <v>Eventos da Área</v>
      </c>
      <c r="C32" s="149" t="str">
        <f>IFERROR(__xludf.DUMMYFUNCTION("""COMPUTED_VALUE"""),"Em relação às categorizações que os veículos da área de computação musical recebem nas ferramentas de indexação, deve-se destacar que:")</f>
        <v>Em relação às categorizações que os veículos da área de computação musical recebem nas ferramentas de indexação, deve-se destacar que:</v>
      </c>
    </row>
    <row r="33">
      <c r="A33" s="68" t="str">
        <f>IFERROR(__xludf.DUMMYFUNCTION("""COMPUTED_VALUE"""),"Eventos da Área")</f>
        <v>Eventos da Área</v>
      </c>
      <c r="C33" s="161"/>
    </row>
    <row r="34">
      <c r="A34" s="68" t="str">
        <f>IFERROR(__xludf.DUMMYFUNCTION("""COMPUTED_VALUE"""),"Eventos da Área")</f>
        <v>Eventos da Área</v>
      </c>
      <c r="C34" s="162" t="str">
        <f>IFERROR(__xludf.DUMMYFUNCTION("""COMPUTED_VALUE"""),"- para o Google Scholar, a maioria dos veículos relevantes encontram-se na categoria ""Humanities, Literature &amp; Arts"", subcategoria ""Music &amp; Musicology"". Cumpre destacar que o veículo de maior impacto nessa categoria, a conferência ISMIR, possui h5-ind"&amp;"ex=32, e a segunda conferência de Computação Musical dessa lista, o NIME, possui h5-index=18, o que reflete o tamanho da comunidade e ilustra o que se consideram conferências de alto impacto em Computação Musical. Dois periódicos entre os mais conceituado"&amp;"s da área, o Journal of New Music Research e o Computer Music Journal, possuem h5-index iguais a 20 e 14, respectivamente.")</f>
        <v>- para o Google Scholar, a maioria dos veículos relevantes encontram-se na categoria "Humanities, Literature &amp; Arts", subcategoria "Music &amp; Musicology". Cumpre destacar que o veículo de maior impacto nessa categoria, a conferência ISMIR, possui h5-index=32, e a segunda conferência de Computação Musical dessa lista, o NIME, possui h5-index=18, o que reflete o tamanho da comunidade e ilustra o que se consideram conferências de alto impacto em Computação Musical. Dois periódicos entre os mais conceituados da área, o Journal of New Music Research e o Computer Music Journal, possuem h5-index iguais a 20 e 14, respectivamente.</v>
      </c>
    </row>
    <row r="35">
      <c r="A35" s="68" t="str">
        <f>IFERROR(__xludf.DUMMYFUNCTION("""COMPUTED_VALUE"""),"Eventos da Área")</f>
        <v>Eventos da Área</v>
      </c>
      <c r="C35" s="162" t="str">
        <f>IFERROR(__xludf.DUMMYFUNCTION("""COMPUTED_VALUE""")," - para a SCIMAGO, a maioria dos veículos relevantes encontram-se em ""Arts and Humanities"" na categoria ""Music"". Periódicos conceituados como o ""Journal of New Music Research"" e o ""Computer Music Journal"" possuem fatores de impacto iguais a 0.368 "&amp;"e 0.236, respectivamente.")</f>
        <v> - para a SCIMAGO, a maioria dos veículos relevantes encontram-se em "Arts and Humanities" na categoria "Music". Periódicos conceituados como o "Journal of New Music Research" e o "Computer Music Journal" possuem fatores de impacto iguais a 0.368 e 0.236, respectivamente.</v>
      </c>
    </row>
    <row r="36">
      <c r="A36" s="68" t="str">
        <f>IFERROR(__xludf.DUMMYFUNCTION("""COMPUTED_VALUE"""),"Eventos da Área")</f>
        <v>Eventos da Área</v>
      </c>
      <c r="C36" s="162" t="str">
        <f>IFERROR(__xludf.DUMMYFUNCTION("""COMPUTED_VALUE"""),"- para o SCOPUS, a maioria dos veículos relevantes encontram-se em ""Arts and Humanities"" na categoria ""Music"". Periódicos conceituados como o ""Journal of New Music Research"" e o ""Computer Music Journal"" possuem CiteScores iguais a 1.15 e 0.68, res"&amp;"pectivamente.")</f>
        <v>- para o SCOPUS, a maioria dos veículos relevantes encontram-se em "Arts and Humanities" na categoria "Music". Periódicos conceituados como o "Journal of New Music Research" e o "Computer Music Journal" possuem CiteScores iguais a 1.15 e 0.68, respectivamente.</v>
      </c>
    </row>
    <row r="37">
      <c r="A37" s="68" t="str">
        <f>IFERROR(__xludf.DUMMYFUNCTION("""COMPUTED_VALUE"""),"Eventos da Área")</f>
        <v>Eventos da Área</v>
      </c>
      <c r="C37" s="161"/>
    </row>
    <row r="38">
      <c r="A38" s="68" t="str">
        <f>IFERROR(__xludf.DUMMYFUNCTION("""COMPUTED_VALUE"""),"Eventos da Área")</f>
        <v>Eventos da Área</v>
      </c>
      <c r="C38" s="162" t="str">
        <f>IFERROR(__xludf.DUMMYFUNCTION("""COMPUTED_VALUE"""),"Esses valores pretendem dar uma dimensão realista do espectro de valores dos fatores de impacto computados pelos indexadores acima, que embora tenham definições bastante objetivas e meçam características importantes das publicações, também prejudicam por "&amp;"outro lado a avaliação de veículos atrelados a comunidades científicas de pequeno porte, onde a quantidade de citações esperada para um trabalho importante dificilmente se compara com as quantidades de citações observadas em outras sub-áreas da computação"&amp;" representadas por comunidades com grandes números de pesquisadores ativos. Visto por outro lado, tais indicadores podem ser bastante valiosos como medidas relativas dentro de uma mesma sub-área relativamente focada (como é o caso da computação musical), "&amp;"sem misturar esses valores com aqueles de veículos associados a outras comunidades.")</f>
        <v>Esses valores pretendem dar uma dimensão realista do espectro de valores dos fatores de impacto computados pelos indexadores acima, que embora tenham definições bastante objetivas e meçam características importantes das publicações, também prejudicam por outro lado a avaliação de veículos atrelados a comunidades científicas de pequeno porte, onde a quantidade de citações esperada para um trabalho importante dificilmente se compara com as quantidades de citações observadas em outras sub-áreas da computação representadas por comunidades com grandes números de pesquisadores ativos. Visto por outro lado, tais indicadores podem ser bastante valiosos como medidas relativas dentro de uma mesma sub-área relativamente focada (como é o caso da computação musical), sem misturar esses valores com aqueles de veículos associados a outras comunidades.</v>
      </c>
    </row>
    <row r="39">
      <c r="A39" s="68" t="str">
        <f>IFERROR(__xludf.DUMMYFUNCTION("""COMPUTED_VALUE"""),"Eventos da Área")</f>
        <v>Eventos da Área</v>
      </c>
      <c r="C39" s="161"/>
    </row>
    <row r="40">
      <c r="A40" s="68" t="str">
        <f>IFERROR(__xludf.DUMMYFUNCTION("""COMPUTED_VALUE"""),"Eventos da Área")</f>
        <v>Eventos da Área</v>
      </c>
    </row>
    <row r="41">
      <c r="A41" s="68" t="str">
        <f>IFERROR(__xludf.DUMMYFUNCTION("""COMPUTED_VALUE"""),"Eventos da Área")</f>
        <v>Eventos da Área</v>
      </c>
    </row>
    <row r="42">
      <c r="A42" s="68" t="str">
        <f>IFERROR(__xludf.DUMMYFUNCTION("""COMPUTED_VALUE"""),"Eventos da Área")</f>
        <v>Eventos da Área</v>
      </c>
    </row>
    <row r="43">
      <c r="A43" s="68" t="str">
        <f>IFERROR(__xludf.DUMMYFUNCTION("""COMPUTED_VALUE"""),"Eventos da Área")</f>
        <v>Eventos da Área</v>
      </c>
    </row>
    <row r="44">
      <c r="A44" s="68" t="str">
        <f>IFERROR(__xludf.DUMMYFUNCTION("""COMPUTED_VALUE"""),"Eventos da Área")</f>
        <v>Eventos da Área</v>
      </c>
    </row>
    <row r="45">
      <c r="A45" s="68" t="str">
        <f>IFERROR(__xludf.DUMMYFUNCTION("""COMPUTED_VALUE"""),"Eventos da Área")</f>
        <v>Eventos da Área</v>
      </c>
    </row>
    <row r="46">
      <c r="A46" s="68" t="str">
        <f>IFERROR(__xludf.DUMMYFUNCTION("""COMPUTED_VALUE"""),"Eventos da Área")</f>
        <v>Eventos da Área</v>
      </c>
    </row>
    <row r="47">
      <c r="A47" s="68" t="str">
        <f>IFERROR(__xludf.DUMMYFUNCTION("""COMPUTED_VALUE"""),"Eventos da Área")</f>
        <v>Eventos da Área</v>
      </c>
    </row>
    <row r="48">
      <c r="A48" s="68" t="str">
        <f>IFERROR(__xludf.DUMMYFUNCTION("""COMPUTED_VALUE"""),"Eventos da Área")</f>
        <v>Eventos da Área</v>
      </c>
    </row>
    <row r="49">
      <c r="A49" s="68" t="str">
        <f>IFERROR(__xludf.DUMMYFUNCTION("""COMPUTED_VALUE"""),"Eventos da Área")</f>
        <v>Eventos da Área</v>
      </c>
    </row>
    <row r="50">
      <c r="A50" s="68" t="str">
        <f>IFERROR(__xludf.DUMMYFUNCTION("""COMPUTED_VALUE"""),"Eventos da Área")</f>
        <v>Eventos da Área</v>
      </c>
    </row>
    <row r="51">
      <c r="A51" s="68" t="str">
        <f>IFERROR(__xludf.DUMMYFUNCTION("""COMPUTED_VALUE"""),"Eventos da Área")</f>
        <v>Eventos da Área</v>
      </c>
    </row>
    <row r="52">
      <c r="A52" s="68" t="str">
        <f>IFERROR(__xludf.DUMMYFUNCTION("""COMPUTED_VALUE"""),"Eventos da Área")</f>
        <v>Eventos da Área</v>
      </c>
    </row>
    <row r="53">
      <c r="A53" s="68" t="str">
        <f>IFERROR(__xludf.DUMMYFUNCTION("""COMPUTED_VALUE"""),"Eventos da Área")</f>
        <v>Eventos da Área</v>
      </c>
    </row>
    <row r="54">
      <c r="A54" s="68" t="str">
        <f>IFERROR(__xludf.DUMMYFUNCTION("""COMPUTED_VALUE"""),"Eventos da Área")</f>
        <v>Eventos da Área</v>
      </c>
    </row>
    <row r="55">
      <c r="A55" s="68" t="str">
        <f>IFERROR(__xludf.DUMMYFUNCTION("""COMPUTED_VALUE"""),"Eventos da Área")</f>
        <v>Eventos da Área</v>
      </c>
    </row>
    <row r="56">
      <c r="A56" s="68" t="str">
        <f>IFERROR(__xludf.DUMMYFUNCTION("""COMPUTED_VALUE"""),"Eventos da Área")</f>
        <v>Eventos da Área</v>
      </c>
    </row>
    <row r="57">
      <c r="A57" s="68" t="str">
        <f>IFERROR(__xludf.DUMMYFUNCTION("""COMPUTED_VALUE"""),"Eventos da Área")</f>
        <v>Eventos da Área</v>
      </c>
    </row>
    <row r="58">
      <c r="A58" s="68" t="str">
        <f>IFERROR(__xludf.DUMMYFUNCTION("""COMPUTED_VALUE"""),"Eventos da Área")</f>
        <v>Eventos da Área</v>
      </c>
    </row>
    <row r="59">
      <c r="A59" s="68" t="str">
        <f>IFERROR(__xludf.DUMMYFUNCTION("""COMPUTED_VALUE"""),"Eventos da Área")</f>
        <v>Eventos da Área</v>
      </c>
    </row>
    <row r="60">
      <c r="A60" s="68" t="str">
        <f>IFERROR(__xludf.DUMMYFUNCTION("""COMPUTED_VALUE"""),"Eventos da Área")</f>
        <v>Eventos da Área</v>
      </c>
    </row>
    <row r="61">
      <c r="A61" s="68" t="str">
        <f>IFERROR(__xludf.DUMMYFUNCTION("""COMPUTED_VALUE"""),"Eventos da Área")</f>
        <v>Eventos da Área</v>
      </c>
    </row>
    <row r="62">
      <c r="A62" s="68" t="str">
        <f>IFERROR(__xludf.DUMMYFUNCTION("""COMPUTED_VALUE"""),"Eventos da Área")</f>
        <v>Eventos da Área</v>
      </c>
    </row>
    <row r="63">
      <c r="A63" s="68" t="str">
        <f>IFERROR(__xludf.DUMMYFUNCTION("""COMPUTED_VALUE"""),"Eventos da Área")</f>
        <v>Eventos da Área</v>
      </c>
    </row>
    <row r="64">
      <c r="A64" s="68" t="str">
        <f>IFERROR(__xludf.DUMMYFUNCTION("""COMPUTED_VALUE"""),"Eventos da Área")</f>
        <v>Eventos da Área</v>
      </c>
    </row>
    <row r="65">
      <c r="A65" s="68" t="str">
        <f>IFERROR(__xludf.DUMMYFUNCTION("""COMPUTED_VALUE"""),"Eventos da Área")</f>
        <v>Eventos da Área</v>
      </c>
    </row>
    <row r="66">
      <c r="A66" s="68" t="str">
        <f>IFERROR(__xludf.DUMMYFUNCTION("""COMPUTED_VALUE"""),"Eventos da Área")</f>
        <v>Eventos da Área</v>
      </c>
    </row>
    <row r="67">
      <c r="A67" s="68" t="str">
        <f>IFERROR(__xludf.DUMMYFUNCTION("""COMPUTED_VALUE"""),"Eventos da Área")</f>
        <v>Eventos da Área</v>
      </c>
    </row>
    <row r="68">
      <c r="A68" s="68" t="str">
        <f>IFERROR(__xludf.DUMMYFUNCTION("""COMPUTED_VALUE"""),"Eventos da Área")</f>
        <v>Eventos da Área</v>
      </c>
    </row>
    <row r="69">
      <c r="A69" s="68" t="str">
        <f>IFERROR(__xludf.DUMMYFUNCTION("""COMPUTED_VALUE"""),"Eventos da Área")</f>
        <v>Eventos da Área</v>
      </c>
    </row>
    <row r="70">
      <c r="A70" s="68" t="str">
        <f>IFERROR(__xludf.DUMMYFUNCTION("""COMPUTED_VALUE"""),"Eventos da Área")</f>
        <v>Eventos da Área</v>
      </c>
    </row>
    <row r="71">
      <c r="A71" s="68" t="str">
        <f>IFERROR(__xludf.DUMMYFUNCTION("""COMPUTED_VALUE"""),"Eventos da Área")</f>
        <v>Eventos da Área</v>
      </c>
    </row>
    <row r="72">
      <c r="A72" s="68" t="str">
        <f>IFERROR(__xludf.DUMMYFUNCTION("""COMPUTED_VALUE"""),"Eventos da Área")</f>
        <v>Eventos da Área</v>
      </c>
    </row>
    <row r="73">
      <c r="A73" s="68" t="str">
        <f>IFERROR(__xludf.DUMMYFUNCTION("""COMPUTED_VALUE"""),"Eventos da Área")</f>
        <v>Eventos da Área</v>
      </c>
    </row>
    <row r="74">
      <c r="A74" s="68" t="str">
        <f>IFERROR(__xludf.DUMMYFUNCTION("""COMPUTED_VALUE"""),"Eventos da Área")</f>
        <v>Eventos da Área</v>
      </c>
    </row>
    <row r="75">
      <c r="A75" s="68" t="str">
        <f>IFERROR(__xludf.DUMMYFUNCTION("""COMPUTED_VALUE"""),"Eventos da Área")</f>
        <v>Eventos da Área</v>
      </c>
    </row>
    <row r="76">
      <c r="A76" s="68" t="str">
        <f>IFERROR(__xludf.DUMMYFUNCTION("""COMPUTED_VALUE"""),"Eventos da Área")</f>
        <v>Eventos da Área</v>
      </c>
    </row>
    <row r="77">
      <c r="A77" s="68" t="str">
        <f>IFERROR(__xludf.DUMMYFUNCTION("""COMPUTED_VALUE"""),"Eventos da Área")</f>
        <v>Eventos da Área</v>
      </c>
    </row>
    <row r="78">
      <c r="A78" s="68" t="str">
        <f>IFERROR(__xludf.DUMMYFUNCTION("""COMPUTED_VALUE"""),"Eventos da Área")</f>
        <v>Eventos da Área</v>
      </c>
    </row>
    <row r="79">
      <c r="A79" s="68" t="str">
        <f>IFERROR(__xludf.DUMMYFUNCTION("""COMPUTED_VALUE"""),"Eventos da Área")</f>
        <v>Eventos da Área</v>
      </c>
    </row>
    <row r="80">
      <c r="A80" s="68" t="str">
        <f>IFERROR(__xludf.DUMMYFUNCTION("""COMPUTED_VALUE"""),"Eventos da Área")</f>
        <v>Eventos da Área</v>
      </c>
    </row>
    <row r="81">
      <c r="A81" s="68" t="str">
        <f>IFERROR(__xludf.DUMMYFUNCTION("""COMPUTED_VALUE"""),"Eventos da Área")</f>
        <v>Eventos da Área</v>
      </c>
    </row>
    <row r="82">
      <c r="A82" s="68" t="str">
        <f>IFERROR(__xludf.DUMMYFUNCTION("""COMPUTED_VALUE"""),"Eventos da Área")</f>
        <v>Eventos da Área</v>
      </c>
    </row>
    <row r="83">
      <c r="A83" s="68" t="str">
        <f>IFERROR(__xludf.DUMMYFUNCTION("""COMPUTED_VALUE"""),"Eventos da Área")</f>
        <v>Eventos da Área</v>
      </c>
    </row>
    <row r="84">
      <c r="A84" s="68" t="str">
        <f>IFERROR(__xludf.DUMMYFUNCTION("""COMPUTED_VALUE"""),"Eventos da Área")</f>
        <v>Eventos da Área</v>
      </c>
    </row>
    <row r="85">
      <c r="A85" s="68" t="str">
        <f>IFERROR(__xludf.DUMMYFUNCTION("""COMPUTED_VALUE"""),"Eventos da Área")</f>
        <v>Eventos da Área</v>
      </c>
    </row>
    <row r="86">
      <c r="A86" s="68" t="str">
        <f>IFERROR(__xludf.DUMMYFUNCTION("""COMPUTED_VALUE"""),"Eventos da Área")</f>
        <v>Eventos da Área</v>
      </c>
    </row>
    <row r="87">
      <c r="A87" s="68" t="str">
        <f>IFERROR(__xludf.DUMMYFUNCTION("""COMPUTED_VALUE"""),"Eventos da Área")</f>
        <v>Eventos da Área</v>
      </c>
    </row>
    <row r="88">
      <c r="A88" s="68" t="str">
        <f>IFERROR(__xludf.DUMMYFUNCTION("""COMPUTED_VALUE"""),"Eventos da Área")</f>
        <v>Eventos da Área</v>
      </c>
    </row>
    <row r="89">
      <c r="A89" s="68" t="str">
        <f>IFERROR(__xludf.DUMMYFUNCTION("""COMPUTED_VALUE"""),"Eventos da Área")</f>
        <v>Eventos da Área</v>
      </c>
    </row>
    <row r="90">
      <c r="A90" s="68" t="str">
        <f>IFERROR(__xludf.DUMMYFUNCTION("""COMPUTED_VALUE"""),"Eventos da Área")</f>
        <v>Eventos da Área</v>
      </c>
    </row>
    <row r="91">
      <c r="A91" s="68" t="str">
        <f>IFERROR(__xludf.DUMMYFUNCTION("""COMPUTED_VALUE"""),"Eventos da Área")</f>
        <v>Eventos da Área</v>
      </c>
    </row>
    <row r="92">
      <c r="A92" s="68" t="str">
        <f>IFERROR(__xludf.DUMMYFUNCTION("""COMPUTED_VALUE"""),"Eventos da Área")</f>
        <v>Eventos da Área</v>
      </c>
    </row>
    <row r="93">
      <c r="A93" s="68" t="str">
        <f>IFERROR(__xludf.DUMMYFUNCTION("""COMPUTED_VALUE"""),"Eventos da Área")</f>
        <v>Eventos da Área</v>
      </c>
    </row>
    <row r="94">
      <c r="A94" s="68" t="str">
        <f>IFERROR(__xludf.DUMMYFUNCTION("""COMPUTED_VALUE"""),"Eventos da Área")</f>
        <v>Eventos da Área</v>
      </c>
    </row>
    <row r="95">
      <c r="A95" s="68" t="str">
        <f>IFERROR(__xludf.DUMMYFUNCTION("""COMPUTED_VALUE"""),"Eventos da Área")</f>
        <v>Eventos da Área</v>
      </c>
    </row>
    <row r="96">
      <c r="A96" s="68" t="str">
        <f>IFERROR(__xludf.DUMMYFUNCTION("""COMPUTED_VALUE"""),"Eventos da Área")</f>
        <v>Eventos da Área</v>
      </c>
    </row>
    <row r="97">
      <c r="A97" s="68" t="str">
        <f>IFERROR(__xludf.DUMMYFUNCTION("""COMPUTED_VALUE"""),"Eventos da Área")</f>
        <v>Eventos da Área</v>
      </c>
    </row>
    <row r="98">
      <c r="A98" s="68" t="str">
        <f>IFERROR(__xludf.DUMMYFUNCTION("""COMPUTED_VALUE"""),"Eventos da Área")</f>
        <v>Eventos da Área</v>
      </c>
    </row>
    <row r="99">
      <c r="A99" s="68" t="str">
        <f>IFERROR(__xludf.DUMMYFUNCTION("""COMPUTED_VALUE"""),"Eventos da Área")</f>
        <v>Eventos da Área</v>
      </c>
    </row>
    <row r="100">
      <c r="A100" s="68" t="str">
        <f>IFERROR(__xludf.DUMMYFUNCTION("""COMPUTED_VALUE"""),"Eventos da Área")</f>
        <v>Eventos da Área</v>
      </c>
    </row>
    <row r="101">
      <c r="A101" s="68" t="str">
        <f>IFERROR(__xludf.DUMMYFUNCTION("""COMPUTED_VALUE"""),"Eventos da Área")</f>
        <v>Eventos da Área</v>
      </c>
    </row>
    <row r="102">
      <c r="A102" s="68" t="str">
        <f>IFERROR(__xludf.DUMMYFUNCTION("""COMPUTED_VALUE"""),"Eventos da Área")</f>
        <v>Eventos da Área</v>
      </c>
    </row>
  </sheetData>
  <mergeCells count="4">
    <mergeCell ref="C34:G34"/>
    <mergeCell ref="C35:G35"/>
    <mergeCell ref="C36:G36"/>
    <mergeCell ref="C38:G38"/>
  </mergeCells>
  <hyperlinks>
    <hyperlink r:id="rId1" ref="E2"/>
    <hyperlink r:id="rId2" ref="E3"/>
    <hyperlink r:id="rId3" ref="E4"/>
    <hyperlink r:id="rId4" ref="E5"/>
    <hyperlink r:id="rId5" ref="E7"/>
    <hyperlink r:id="rId6" ref="E8"/>
    <hyperlink r:id="rId7" ref="E9"/>
    <hyperlink r:id="rId8" ref="E10"/>
    <hyperlink r:id="rId9" ref="E11"/>
    <hyperlink r:id="rId10" ref="E12"/>
    <hyperlink r:id="rId11" ref="E13"/>
    <hyperlink r:id="rId12" ref="E14"/>
    <hyperlink r:id="rId13" ref="E15"/>
    <hyperlink r:id="rId14" ref="E16"/>
    <hyperlink r:id="rId15" ref="E17"/>
    <hyperlink r:id="rId16" ref="E18"/>
    <hyperlink r:id="rId17" ref="E19"/>
    <hyperlink r:id="rId18" ref="E20"/>
    <hyperlink r:id="rId19" ref="E21"/>
    <hyperlink r:id="rId20" ref="E22"/>
    <hyperlink r:id="rId21" ref="E23"/>
    <hyperlink r:id="rId22" ref="E24"/>
    <hyperlink r:id="rId23" ref="E25"/>
    <hyperlink r:id="rId24" ref="E26"/>
    <hyperlink r:id="rId25" ref="E27"/>
    <hyperlink r:id="rId26" ref="E28"/>
  </hyperlinks>
  <drawing r:id="rId27"/>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82.75"/>
    <col customWidth="1" min="6" max="6" width="19.5"/>
    <col customWidth="1" min="7" max="7" width="29.88"/>
    <col customWidth="1" min="8" max="8" width="38.25"/>
    <col customWidth="1" min="9" max="9" width="30.75"/>
    <col customWidth="1" min="10" max="10" width="35.63"/>
  </cols>
  <sheetData>
    <row r="1">
      <c r="A1" s="1" t="str">
        <f>IFERROR(__xludf.DUMMYFUNCTION("importrange(""https://docs.google.com/spreadsheets/d/1qXNE0XN1U0grmnV8Qe1bnIUi0PnFNdGINmcuW-axyuY/edit#gid=1829136038"",""CE-IA!A1:J150"")"),"TOP")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c r="AA1" s="2"/>
      <c r="AB1" s="2"/>
      <c r="AC1" s="2"/>
      <c r="AD1" s="2"/>
    </row>
    <row r="2">
      <c r="A2" s="58" t="str">
        <f>IFERROR(__xludf.DUMMYFUNCTION("""COMPUTED_VALUE"""),"Top 10")</f>
        <v>Top 10</v>
      </c>
      <c r="B2" t="str">
        <f>IFERROR(__xludf.DUMMYFUNCTION("""COMPUTED_VALUE"""),"NIPS")</f>
        <v>NIPS</v>
      </c>
      <c r="C2" t="str">
        <f>IFERROR(__xludf.DUMMYFUNCTION("""COMPUTED_VALUE"""),"Neural Information Processing Systems")</f>
        <v>Neural Information Processing Systems</v>
      </c>
      <c r="D2">
        <f>IFERROR(__xludf.DUMMYFUNCTION("""COMPUTED_VALUE"""),337.0)</f>
        <v>337</v>
      </c>
      <c r="E2" s="147" t="str">
        <f>IFERROR(__xludf.DUMMYFUNCTION("""COMPUTED_VALUE"""),"https://scholar.google.com/citations?hl=pt-BR&amp;view_op=list_hcore&amp;venue=6SgK_Z8h2_wJ.2024")</f>
        <v>https://scholar.google.com/citations?hl=pt-BR&amp;view_op=list_hcore&amp;venue=6SgK_Z8h2_wJ.2024</v>
      </c>
      <c r="F2" t="str">
        <f>IFERROR(__xludf.DUMMYFUNCTION("""COMPUTED_VALUE"""),"NeurIPS")</f>
        <v>NeurIPS</v>
      </c>
      <c r="I2" s="60" t="str">
        <f>IFERROR(__xludf.DUMMYFUNCTION("""COMPUTED_VALUE"""),"https://dblp.org/db/conf/nips/index.html")</f>
        <v>https://dblp.org/db/conf/nips/index.html</v>
      </c>
    </row>
    <row r="3">
      <c r="A3" s="58" t="str">
        <f>IFERROR(__xludf.DUMMYFUNCTION("""COMPUTED_VALUE"""),"Top 10")</f>
        <v>Top 10</v>
      </c>
      <c r="B3" t="str">
        <f>IFERROR(__xludf.DUMMYFUNCTION("""COMPUTED_VALUE"""),"ICML")</f>
        <v>ICML</v>
      </c>
      <c r="C3" t="str">
        <f>IFERROR(__xludf.DUMMYFUNCTION("""COMPUTED_VALUE"""),"International Conference on Machine Learning")</f>
        <v>International Conference on Machine Learning</v>
      </c>
      <c r="D3">
        <f>IFERROR(__xludf.DUMMYFUNCTION("""COMPUTED_VALUE"""),268.0)</f>
        <v>268</v>
      </c>
      <c r="E3" s="147" t="str">
        <f>IFERROR(__xludf.DUMMYFUNCTION("""COMPUTED_VALUE"""),"https://scholar.google.com/citations?hl=en&amp;view_op=list_hcore&amp;venue=wL2oxc9mT4YJ.2024")</f>
        <v>https://scholar.google.com/citations?hl=en&amp;view_op=list_hcore&amp;venue=wL2oxc9mT4YJ.2024</v>
      </c>
      <c r="I3" s="60" t="str">
        <f>IFERROR(__xludf.DUMMYFUNCTION("""COMPUTED_VALUE"""),"https://dblp.org/db/conf/icml/index.html")</f>
        <v>https://dblp.org/db/conf/icml/index.html</v>
      </c>
    </row>
    <row r="4">
      <c r="A4" s="58" t="str">
        <f>IFERROR(__xludf.DUMMYFUNCTION("""COMPUTED_VALUE"""),"Top 10")</f>
        <v>Top 10</v>
      </c>
      <c r="B4" t="str">
        <f>IFERROR(__xludf.DUMMYFUNCTION("""COMPUTED_VALUE"""),"AAAI")</f>
        <v>AAAI</v>
      </c>
      <c r="C4" t="str">
        <f>IFERROR(__xludf.DUMMYFUNCTION("""COMPUTED_VALUE"""),"AAAI Conference on Artificial Intelligence")</f>
        <v>AAAI Conference on Artificial Intelligence</v>
      </c>
      <c r="D4">
        <f>IFERROR(__xludf.DUMMYFUNCTION("""COMPUTED_VALUE"""),220.0)</f>
        <v>220</v>
      </c>
      <c r="E4" s="147" t="str">
        <f>IFERROR(__xludf.DUMMYFUNCTION("""COMPUTED_VALUE"""),"https://scholar.google.com/citations?hl=en&amp;view_op=list_hcore&amp;venue=PV9sQN5dnPsJ.2024")</f>
        <v>https://scholar.google.com/citations?hl=en&amp;view_op=list_hcore&amp;venue=PV9sQN5dnPsJ.2024</v>
      </c>
      <c r="I4" s="60" t="str">
        <f>IFERROR(__xludf.DUMMYFUNCTION("""COMPUTED_VALUE"""),"https://dblp.org/db/conf/aaai/index.html")</f>
        <v>https://dblp.org/db/conf/aaai/index.html</v>
      </c>
    </row>
    <row r="5">
      <c r="A5" s="58" t="str">
        <f>IFERROR(__xludf.DUMMYFUNCTION("""COMPUTED_VALUE"""),"Top 10")</f>
        <v>Top 10</v>
      </c>
      <c r="B5" t="str">
        <f>IFERROR(__xludf.DUMMYFUNCTION("""COMPUTED_VALUE"""),"IJCAI")</f>
        <v>IJCAI</v>
      </c>
      <c r="C5" t="str">
        <f>IFERROR(__xludf.DUMMYFUNCTION("""COMPUTED_VALUE"""),"International Joint Conference on Artificial Intelligence")</f>
        <v>International Joint Conference on Artificial Intelligence</v>
      </c>
      <c r="D5">
        <f>IFERROR(__xludf.DUMMYFUNCTION("""COMPUTED_VALUE"""),136.0)</f>
        <v>136</v>
      </c>
      <c r="E5" s="147" t="str">
        <f>IFERROR(__xludf.DUMMYFUNCTION("""COMPUTED_VALUE"""),"https://scholar.google.com/citations?hl=pt-BR&amp;view_op=list_hcore&amp;venue=4HxsSu0PUdYJ.2024")</f>
        <v>https://scholar.google.com/citations?hl=pt-BR&amp;view_op=list_hcore&amp;venue=4HxsSu0PUdYJ.2024</v>
      </c>
      <c r="I5" s="60" t="str">
        <f>IFERROR(__xludf.DUMMYFUNCTION("""COMPUTED_VALUE"""),"https://dblp.org/db/conf/ijcai/index.html")</f>
        <v>https://dblp.org/db/conf/ijcai/index.html</v>
      </c>
    </row>
    <row r="6">
      <c r="A6" s="58" t="str">
        <f>IFERROR(__xludf.DUMMYFUNCTION("""COMPUTED_VALUE"""),"Top 10")</f>
        <v>Top 10</v>
      </c>
      <c r="B6" t="str">
        <f>IFERROR(__xludf.DUMMYFUNCTION("""COMPUTED_VALUE"""),"AAMAS")</f>
        <v>AAMAS</v>
      </c>
      <c r="C6" s="104" t="str">
        <f>IFERROR(__xludf.DUMMYFUNCTION("""COMPUTED_VALUE"""),"International Conference on Autonomous Agents and Multiagent Systems")</f>
        <v>International Conference on Autonomous Agents and Multiagent Systems</v>
      </c>
      <c r="D6" s="99">
        <f>IFERROR(__xludf.DUMMYFUNCTION("""COMPUTED_VALUE"""),54.0)</f>
        <v>54</v>
      </c>
      <c r="E6" s="147" t="str">
        <f>IFERROR(__xludf.DUMMYFUNCTION("""COMPUTED_VALUE"""),"https://scholar.google.com/citations?hl=en&amp;view_op=list_hcore&amp;venue=yWxsQWGuQ-sJ.2024")</f>
        <v>https://scholar.google.com/citations?hl=en&amp;view_op=list_hcore&amp;venue=yWxsQWGuQ-sJ.2024</v>
      </c>
      <c r="F6" s="98"/>
      <c r="I6" s="60" t="str">
        <f>IFERROR(__xludf.DUMMYFUNCTION("""COMPUTED_VALUE"""),"https://dblp.org/db/conf/atal/index.html")</f>
        <v>https://dblp.org/db/conf/atal/index.html</v>
      </c>
    </row>
    <row r="7">
      <c r="A7" s="58" t="str">
        <f>IFERROR(__xludf.DUMMYFUNCTION("""COMPUTED_VALUE"""),"Top 10")</f>
        <v>Top 10</v>
      </c>
      <c r="B7" t="str">
        <f>IFERROR(__xludf.DUMMYFUNCTION("""COMPUTED_VALUE"""),"UAI")</f>
        <v>UAI</v>
      </c>
      <c r="C7" s="163" t="str">
        <f>IFERROR(__xludf.DUMMYFUNCTION("""COMPUTED_VALUE"""),"Conference on Uncertainty in Artificial Intelligence")</f>
        <v>Conference on Uncertainty in Artificial Intelligence</v>
      </c>
      <c r="D7" s="164">
        <f>IFERROR(__xludf.DUMMYFUNCTION("""COMPUTED_VALUE"""),56.0)</f>
        <v>56</v>
      </c>
      <c r="E7" s="147" t="str">
        <f>IFERROR(__xludf.DUMMYFUNCTION("""COMPUTED_VALUE"""),"https://scholar.google.com/citations?hl=en&amp;view_op=list_hcore&amp;venue=xLfkTVI4LkMJ.2024")</f>
        <v>https://scholar.google.com/citations?hl=en&amp;view_op=list_hcore&amp;venue=xLfkTVI4LkMJ.2024</v>
      </c>
      <c r="F7" s="129"/>
      <c r="I7" s="60" t="str">
        <f>IFERROR(__xludf.DUMMYFUNCTION("""COMPUTED_VALUE"""),"https://dblp.org/db/conf/uai/index.html")</f>
        <v>https://dblp.org/db/conf/uai/index.html</v>
      </c>
    </row>
    <row r="8">
      <c r="A8" s="58" t="str">
        <f>IFERROR(__xludf.DUMMYFUNCTION("""COMPUTED_VALUE"""),"Top 10")</f>
        <v>Top 10</v>
      </c>
      <c r="B8" t="str">
        <f>IFERROR(__xludf.DUMMYFUNCTION("""COMPUTED_VALUE"""),"ICAPS")</f>
        <v>ICAPS</v>
      </c>
      <c r="C8" t="str">
        <f>IFERROR(__xludf.DUMMYFUNCTION("""COMPUTED_VALUE"""),"International Conference on Automated Planning and Scheduling")</f>
        <v>International Conference on Automated Planning and Scheduling</v>
      </c>
      <c r="D8">
        <f>IFERROR(__xludf.DUMMYFUNCTION("""COMPUTED_VALUE"""),35.0)</f>
        <v>35</v>
      </c>
      <c r="E8" s="147" t="str">
        <f>IFERROR(__xludf.DUMMYFUNCTION("""COMPUTED_VALUE"""),"https://scholar.google.com/citations?hl=en&amp;view_op=list_hcore&amp;venue=Mr2FEgodZ4QJ.2024")</f>
        <v>https://scholar.google.com/citations?hl=en&amp;view_op=list_hcore&amp;venue=Mr2FEgodZ4QJ.2024</v>
      </c>
      <c r="I8" s="60" t="str">
        <f>IFERROR(__xludf.DUMMYFUNCTION("""COMPUTED_VALUE"""),"https://dblp.org/db/conf/icaps/index.html")</f>
        <v>https://dblp.org/db/conf/icaps/index.html</v>
      </c>
    </row>
    <row r="9">
      <c r="A9" s="58" t="str">
        <f>IFERROR(__xludf.DUMMYFUNCTION("""COMPUTED_VALUE"""),"Top 10")</f>
        <v>Top 10</v>
      </c>
      <c r="B9" t="str">
        <f>IFERROR(__xludf.DUMMYFUNCTION("""COMPUTED_VALUE"""),"KR")</f>
        <v>KR</v>
      </c>
      <c r="C9" t="str">
        <f>IFERROR(__xludf.DUMMYFUNCTION("""COMPUTED_VALUE"""),"International Conference on Principles of Knowledge Representation and Reasoning")</f>
        <v>International Conference on Principles of Knowledge Representation and Reasoning</v>
      </c>
      <c r="D9">
        <f>IFERROR(__xludf.DUMMYFUNCTION("""COMPUTED_VALUE"""),23.0)</f>
        <v>23</v>
      </c>
      <c r="E9" s="147" t="str">
        <f>IFERROR(__xludf.DUMMYFUNCTION("""COMPUTED_VALUE"""),"https://scholar.google.com/citations?hl=en&amp;view_op=list_hcore&amp;venue=mK5NIOh7kkEJ.2024")</f>
        <v>https://scholar.google.com/citations?hl=en&amp;view_op=list_hcore&amp;venue=mK5NIOh7kkEJ.2024</v>
      </c>
      <c r="I9" s="60" t="str">
        <f>IFERROR(__xludf.DUMMYFUNCTION("""COMPUTED_VALUE"""),"https://dblp.org/db/conf/kr/index.html")</f>
        <v>https://dblp.org/db/conf/kr/index.html</v>
      </c>
    </row>
    <row r="10">
      <c r="A10" s="58" t="str">
        <f>IFERROR(__xludf.DUMMYFUNCTION("""COMPUTED_VALUE"""),"Top 10")</f>
        <v>Top 10</v>
      </c>
      <c r="B10" t="str">
        <f>IFERROR(__xludf.DUMMYFUNCTION("""COMPUTED_VALUE"""),"BRACIS")</f>
        <v>BRACIS</v>
      </c>
      <c r="C10" s="104" t="str">
        <f>IFERROR(__xludf.DUMMYFUNCTION("""COMPUTED_VALUE"""),"Brazilian Conference on Intelligent Systems")</f>
        <v>Brazilian Conference on Intelligent Systems</v>
      </c>
      <c r="D10" s="165">
        <f>IFERROR(__xludf.DUMMYFUNCTION("""COMPUTED_VALUE"""),16.0)</f>
        <v>16</v>
      </c>
      <c r="E10" s="147" t="str">
        <f>IFERROR(__xludf.DUMMYFUNCTION("""COMPUTED_VALUE"""),"https://scholar.google.com/citations?hl=en&amp;view_op=list_hcore&amp;venue=qXwIadFVNCsJ.2024")</f>
        <v>https://scholar.google.com/citations?hl=en&amp;view_op=list_hcore&amp;venue=qXwIadFVNCsJ.2024</v>
      </c>
      <c r="F10" s="98"/>
      <c r="I10" s="60" t="str">
        <f>IFERROR(__xludf.DUMMYFUNCTION("""COMPUTED_VALUE"""),"https://dblp.org/db/conf/bracis/index.html")</f>
        <v>https://dblp.org/db/conf/bracis/index.html</v>
      </c>
      <c r="J10" s="60" t="str">
        <f>IFERROR(__xludf.DUMMYFUNCTION("""COMPUTED_VALUE"""),"https://sol.sbc.org.br/index.php/bracis/index")</f>
        <v>https://sol.sbc.org.br/index.php/bracis/index</v>
      </c>
    </row>
    <row r="11">
      <c r="A11" s="58" t="str">
        <f>IFERROR(__xludf.DUMMYFUNCTION("""COMPUTED_VALUE"""),"Top 10")</f>
        <v>Top 10</v>
      </c>
      <c r="B11" t="str">
        <f>IFERROR(__xludf.DUMMYFUNCTION("""COMPUTED_VALUE"""),"ENIAC")</f>
        <v>ENIAC</v>
      </c>
      <c r="C11" t="str">
        <f>IFERROR(__xludf.DUMMYFUNCTION("""COMPUTED_VALUE"""),"Encontro Nacional de Inteligência Artificial e Computacional")</f>
        <v>Encontro Nacional de Inteligência Artificial e Computacional</v>
      </c>
      <c r="D11">
        <f>IFERROR(__xludf.DUMMYFUNCTION("""COMPUTED_VALUE"""),9.0)</f>
        <v>9</v>
      </c>
      <c r="E11" s="147" t="str">
        <f>IFERROR(__xludf.DUMMYFUNCTION("""COMPUTED_VALUE"""),"https://scholar.google.com/citations?hl=pt-BR&amp;view_op=list_hcore&amp;venue=DoEKONL9f1YJ.2024")</f>
        <v>https://scholar.google.com/citations?hl=pt-BR&amp;view_op=list_hcore&amp;venue=DoEKONL9f1YJ.2024</v>
      </c>
      <c r="J11" s="60" t="str">
        <f>IFERROR(__xludf.DUMMYFUNCTION("""COMPUTED_VALUE"""),"https://sol.sbc.org.br/index.php/eniac/issue/archive")</f>
        <v>https://sol.sbc.org.br/index.php/eniac/issue/archive</v>
      </c>
    </row>
    <row r="12">
      <c r="A12" s="65" t="str">
        <f>IFERROR(__xludf.DUMMYFUNCTION("""COMPUTED_VALUE"""),"Top 20")</f>
        <v>Top 20</v>
      </c>
      <c r="B12" t="str">
        <f>IFERROR(__xludf.DUMMYFUNCTION("""COMPUTED_VALUE"""),"ECAI")</f>
        <v>ECAI</v>
      </c>
      <c r="C12" t="str">
        <f>IFERROR(__xludf.DUMMYFUNCTION("""COMPUTED_VALUE"""),"European Conference on Artificial Intelligence")</f>
        <v>European Conference on Artificial Intelligence</v>
      </c>
      <c r="D12">
        <f>IFERROR(__xludf.DUMMYFUNCTION("""COMPUTED_VALUE"""),36.0)</f>
        <v>36</v>
      </c>
      <c r="E12" s="147" t="str">
        <f>IFERROR(__xludf.DUMMYFUNCTION("""COMPUTED_VALUE"""),"https://scholar.google.com/citations?hl=en&amp;view_op=list_hcore&amp;venue=ryLBm7fgHNMJ.2024")</f>
        <v>https://scholar.google.com/citations?hl=en&amp;view_op=list_hcore&amp;venue=ryLBm7fgHNMJ.2024</v>
      </c>
      <c r="G12" s="100"/>
      <c r="I12" s="60" t="str">
        <f>IFERROR(__xludf.DUMMYFUNCTION("""COMPUTED_VALUE"""),"https://dblp.org/db/conf/ecai/index.html")</f>
        <v>https://dblp.org/db/conf/ecai/index.html</v>
      </c>
    </row>
    <row r="13">
      <c r="A13" s="65" t="str">
        <f>IFERROR(__xludf.DUMMYFUNCTION("""COMPUTED_VALUE"""),"Top 20")</f>
        <v>Top 20</v>
      </c>
      <c r="B13" t="str">
        <f>IFERROR(__xludf.DUMMYFUNCTION("""COMPUTED_VALUE"""),"EMNDKLP")</f>
        <v>EMNDKLP</v>
      </c>
      <c r="C13" s="104" t="str">
        <f>IFERROR(__xludf.DUMMYFUNCTION("""COMPUTED_VALUE"""),"Conference on Empirical Methods in Natural Language Processing")</f>
        <v>Conference on Empirical Methods in Natural Language Processing</v>
      </c>
      <c r="D13" s="99">
        <f>IFERROR(__xludf.DUMMYFUNCTION("""COMPUTED_VALUE"""),193.0)</f>
        <v>193</v>
      </c>
      <c r="E13" s="147" t="str">
        <f>IFERROR(__xludf.DUMMYFUNCTION("""COMPUTED_VALUE"""),"https://scholar.google.com/citations?hl=pt-BR&amp;view_op=list_hcore&amp;venue=LqrQjvOguiMJ.2024")</f>
        <v>https://scholar.google.com/citations?hl=pt-BR&amp;view_op=list_hcore&amp;venue=LqrQjvOguiMJ.2024</v>
      </c>
      <c r="F13" s="98"/>
      <c r="I13" s="60" t="str">
        <f>IFERROR(__xludf.DUMMYFUNCTION("""COMPUTED_VALUE"""),"https://dblp.org/db/conf/emnlp/index.html")</f>
        <v>https://dblp.org/db/conf/emnlp/index.html</v>
      </c>
    </row>
    <row r="14">
      <c r="A14" s="65" t="str">
        <f>IFERROR(__xludf.DUMMYFUNCTION("""COMPUTED_VALUE"""),"Top 20")</f>
        <v>Top 20</v>
      </c>
      <c r="B14" t="str">
        <f>IFERROR(__xludf.DUMMYFUNCTION("""COMPUTED_VALUE"""),"IROS")</f>
        <v>IROS</v>
      </c>
      <c r="C14" s="104" t="str">
        <f>IFERROR(__xludf.DUMMYFUNCTION("""COMPUTED_VALUE"""),"IEEE/RSJ Interrnational Conference on Intelligent Robots and Systems")</f>
        <v>IEEE/RSJ Interrnational Conference on Intelligent Robots and Systems</v>
      </c>
      <c r="D14" s="99">
        <f>IFERROR(__xludf.DUMMYFUNCTION("""COMPUTED_VALUE"""),78.0)</f>
        <v>78</v>
      </c>
      <c r="E14" s="147" t="str">
        <f>IFERROR(__xludf.DUMMYFUNCTION("""COMPUTED_VALUE"""),"https://scholar.google.com/citations?hl=en&amp;view_op=list_hcore&amp;venue=LqrQjvOguiMJ.2024")</f>
        <v>https://scholar.google.com/citations?hl=en&amp;view_op=list_hcore&amp;venue=LqrQjvOguiMJ.2024</v>
      </c>
    </row>
    <row r="15">
      <c r="A15" s="65" t="str">
        <f>IFERROR(__xludf.DUMMYFUNCTION("""COMPUTED_VALUE"""),"Top 20")</f>
        <v>Top 20</v>
      </c>
      <c r="B15" t="str">
        <f>IFERROR(__xludf.DUMMYFUNCTION("""COMPUTED_VALUE"""),"WSDM")</f>
        <v>WSDM</v>
      </c>
      <c r="C15" s="104" t="str">
        <f>IFERROR(__xludf.DUMMYFUNCTION("""COMPUTED_VALUE"""),"ACM International Conference on Web Search and Data Mining")</f>
        <v>ACM International Conference on Web Search and Data Mining</v>
      </c>
      <c r="D15" s="99">
        <f>IFERROR(__xludf.DUMMYFUNCTION("""COMPUTED_VALUE"""),77.0)</f>
        <v>77</v>
      </c>
      <c r="E15" s="147" t="str">
        <f>IFERROR(__xludf.DUMMYFUNCTION("""COMPUTED_VALUE"""),"https://scholar.google.com/citations?hl=en&amp;view_op=list_hcore&amp;venue=6AbX1YWluE4J.2024")</f>
        <v>https://scholar.google.com/citations?hl=en&amp;view_op=list_hcore&amp;venue=6AbX1YWluE4J.2024</v>
      </c>
    </row>
    <row r="16">
      <c r="A16" s="65" t="str">
        <f>IFERROR(__xludf.DUMMYFUNCTION("""COMPUTED_VALUE"""),"Top 20")</f>
        <v>Top 20</v>
      </c>
      <c r="B16" s="166" t="str">
        <f>IFERROR(__xludf.DUMMYFUNCTION("""COMPUTED_VALUE"""),"COLT")</f>
        <v>COLT</v>
      </c>
      <c r="C16" s="104" t="str">
        <f>IFERROR(__xludf.DUMMYFUNCTION("""COMPUTED_VALUE"""),"Conference on Learning Theory")</f>
        <v>Conference on Learning Theory</v>
      </c>
      <c r="D16" s="99">
        <f>IFERROR(__xludf.DUMMYFUNCTION("""COMPUTED_VALUE"""),74.0)</f>
        <v>74</v>
      </c>
      <c r="E16" s="147" t="str">
        <f>IFERROR(__xludf.DUMMYFUNCTION("""COMPUTED_VALUE"""),"https://scholar.google.com/citations?hl=en&amp;view_op=list_hcore&amp;venue=z7sajJgd5jIJ.2024")</f>
        <v>https://scholar.google.com/citations?hl=en&amp;view_op=list_hcore&amp;venue=z7sajJgd5jIJ.2024</v>
      </c>
    </row>
    <row r="17">
      <c r="A17" s="65" t="str">
        <f>IFERROR(__xludf.DUMMYFUNCTION("""COMPUTED_VALUE"""),"Top 20")</f>
        <v>Top 20</v>
      </c>
      <c r="B17" t="str">
        <f>IFERROR(__xludf.DUMMYFUNCTION("""COMPUTED_VALUE"""),"AISTATS")</f>
        <v>AISTATS</v>
      </c>
      <c r="C17" s="167" t="str">
        <f>IFERROR(__xludf.DUMMYFUNCTION("""COMPUTED_VALUE"""),"International Conference on Artificial Intelligence and Statistics")</f>
        <v>International Conference on Artificial Intelligence and Statistics</v>
      </c>
      <c r="D17">
        <f>IFERROR(__xludf.DUMMYFUNCTION("""COMPUTED_VALUE"""),100.0)</f>
        <v>100</v>
      </c>
      <c r="E17" s="147" t="str">
        <f>IFERROR(__xludf.DUMMYFUNCTION("""COMPUTED_VALUE"""),"https://scholar.google.com/citations?hl=en&amp;view_op=list_hcore&amp;venue=PhcE9OLs0MUJ.2024")</f>
        <v>https://scholar.google.com/citations?hl=en&amp;view_op=list_hcore&amp;venue=PhcE9OLs0MUJ.2024</v>
      </c>
      <c r="I17" s="60" t="str">
        <f>IFERROR(__xludf.DUMMYFUNCTION("""COMPUTED_VALUE"""),"https://dblp.org/db/conf/aistats/index.html")</f>
        <v>https://dblp.org/db/conf/aistats/index.html</v>
      </c>
    </row>
    <row r="18">
      <c r="A18" s="65" t="str">
        <f>IFERROR(__xludf.DUMMYFUNCTION("""COMPUTED_VALUE"""),"Top 20")</f>
        <v>Top 20</v>
      </c>
      <c r="B18" t="str">
        <f>IFERROR(__xludf.DUMMYFUNCTION("""COMPUTED_VALUE"""),"GECCO")</f>
        <v>GECCO</v>
      </c>
      <c r="C18" t="str">
        <f>IFERROR(__xludf.DUMMYFUNCTION("""COMPUTED_VALUE"""),"Conference on Genetic and Evolutionary Computation")</f>
        <v>Conference on Genetic and Evolutionary Computation</v>
      </c>
      <c r="D18">
        <f>IFERROR(__xludf.DUMMYFUNCTION("""COMPUTED_VALUE"""),47.0)</f>
        <v>47</v>
      </c>
      <c r="E18" s="147" t="str">
        <f>IFERROR(__xludf.DUMMYFUNCTION("""COMPUTED_VALUE"""),"https://scholar.google.com/citations?hl=en&amp;view_op=list_hcore&amp;venue=pQVER_ii7sMJ.2024")</f>
        <v>https://scholar.google.com/citations?hl=en&amp;view_op=list_hcore&amp;venue=pQVER_ii7sMJ.2024</v>
      </c>
      <c r="I18" s="60" t="str">
        <f>IFERROR(__xludf.DUMMYFUNCTION("""COMPUTED_VALUE"""),"https://dblp.org/db/conf/gecco/index.html")</f>
        <v>https://dblp.org/db/conf/gecco/index.html</v>
      </c>
    </row>
    <row r="19">
      <c r="A19" s="65" t="str">
        <f>IFERROR(__xludf.DUMMYFUNCTION("""COMPUTED_VALUE"""),"Top 20")</f>
        <v>Top 20</v>
      </c>
      <c r="B19" t="str">
        <f>IFERROR(__xludf.DUMMYFUNCTION("""COMPUTED_VALUE"""),"FUZZ")</f>
        <v>FUZZ</v>
      </c>
      <c r="C19" t="str">
        <f>IFERROR(__xludf.DUMMYFUNCTION("""COMPUTED_VALUE"""),"IEEE International Conference on Fuzzy Systems")</f>
        <v>IEEE International Conference on Fuzzy Systems</v>
      </c>
      <c r="D19">
        <f>IFERROR(__xludf.DUMMYFUNCTION("""COMPUTED_VALUE"""),25.0)</f>
        <v>25</v>
      </c>
      <c r="E19" s="147" t="str">
        <f>IFERROR(__xludf.DUMMYFUNCTION("""COMPUTED_VALUE"""),"https://scholar.google.com/citations?hl=pt-BR&amp;view_op=list_hcore&amp;venue=sateOX2Ni50J.2024")</f>
        <v>https://scholar.google.com/citations?hl=pt-BR&amp;view_op=list_hcore&amp;venue=sateOX2Ni50J.2024</v>
      </c>
      <c r="I19" s="60" t="str">
        <f>IFERROR(__xludf.DUMMYFUNCTION("""COMPUTED_VALUE"""),"https://dblp.org/db/conf/fuzzIEEE/index.html")</f>
        <v>https://dblp.org/db/conf/fuzzIEEE/index.html</v>
      </c>
    </row>
    <row r="20">
      <c r="A20" s="65" t="str">
        <f>IFERROR(__xludf.DUMMYFUNCTION("""COMPUTED_VALUE"""),"Top 20")</f>
        <v>Top 20</v>
      </c>
      <c r="B20" s="128" t="str">
        <f>IFERROR(__xludf.DUMMYFUNCTION("""COMPUTED_VALUE"""),"AIIDE")</f>
        <v>AIIDE</v>
      </c>
      <c r="C20" s="128" t="str">
        <f>IFERROR(__xludf.DUMMYFUNCTION("""COMPUTED_VALUE"""),"AAAI Conference on Artificial Intelligence and Interactive Digital Entertainment")</f>
        <v>AAAI Conference on Artificial Intelligence and Interactive Digital Entertainment</v>
      </c>
      <c r="D20">
        <f>IFERROR(__xludf.DUMMYFUNCTION("""COMPUTED_VALUE"""),21.0)</f>
        <v>21</v>
      </c>
      <c r="E20" s="147" t="str">
        <f>IFERROR(__xludf.DUMMYFUNCTION("""COMPUTED_VALUE"""),"https://scholar.google.com/citations?hl=en&amp;view_op=list_hcore&amp;venue=5m22OTMIZYcJ.2024")</f>
        <v>https://scholar.google.com/citations?hl=en&amp;view_op=list_hcore&amp;venue=5m22OTMIZYcJ.2024</v>
      </c>
      <c r="F20" s="128"/>
      <c r="I20" s="60" t="str">
        <f>IFERROR(__xludf.DUMMYFUNCTION("""COMPUTED_VALUE"""),"https://dblp.org/db/conf/aiide/index.html")</f>
        <v>https://dblp.org/db/conf/aiide/index.html</v>
      </c>
    </row>
    <row r="21">
      <c r="A21" s="65" t="str">
        <f>IFERROR(__xludf.DUMMYFUNCTION("""COMPUTED_VALUE"""),"Top 20")</f>
        <v>Top 20</v>
      </c>
      <c r="B21" s="168" t="str">
        <f>IFERROR(__xludf.DUMMYFUNCTION("""COMPUTED_VALUE"""),"ICWSM")</f>
        <v>ICWSM</v>
      </c>
      <c r="C21" s="104" t="str">
        <f>IFERROR(__xludf.DUMMYFUNCTION("""COMPUTED_VALUE"""),"International Conference on Web and Social Media")</f>
        <v>International Conference on Web and Social Media</v>
      </c>
      <c r="D21" s="99">
        <f>IFERROR(__xludf.DUMMYFUNCTION("""COMPUTED_VALUE"""),56.0)</f>
        <v>56</v>
      </c>
      <c r="E21" s="147" t="str">
        <f>IFERROR(__xludf.DUMMYFUNCTION("""COMPUTED_VALUE"""),"https://scholar.google.com/citations?hl=pt-BR&amp;view_op=list_hcore&amp;venue=eH4qSzdbVtwJ.2024")</f>
        <v>https://scholar.google.com/citations?hl=pt-BR&amp;view_op=list_hcore&amp;venue=eH4qSzdbVtwJ.2024</v>
      </c>
      <c r="F21" s="98"/>
      <c r="I21" s="60" t="str">
        <f>IFERROR(__xludf.DUMMYFUNCTION("""COMPUTED_VALUE"""),"https://dblp.org/db/conf/icwsm/index.html")</f>
        <v>https://dblp.org/db/conf/icwsm/index.html</v>
      </c>
    </row>
    <row r="22">
      <c r="A22" s="68" t="str">
        <f>IFERROR(__xludf.DUMMYFUNCTION("""COMPUTED_VALUE"""),"Eventos da Área")</f>
        <v>Eventos da Área</v>
      </c>
      <c r="B22" t="str">
        <f>IFERROR(__xludf.DUMMYFUNCTION("""COMPUTED_VALUE"""),"ECSQARU")</f>
        <v>ECSQARU</v>
      </c>
      <c r="C22" t="str">
        <f>IFERROR(__xludf.DUMMYFUNCTION("""COMPUTED_VALUE"""),"European Conference on Symbolic and Quantitative Approaches to Reasoning and Uncertainty")</f>
        <v>European Conference on Symbolic and Quantitative Approaches to Reasoning and Uncertainty</v>
      </c>
      <c r="D22">
        <f>IFERROR(__xludf.DUMMYFUNCTION("""COMPUTED_VALUE"""),12.0)</f>
        <v>12</v>
      </c>
      <c r="E22" s="147" t="str">
        <f>IFERROR(__xludf.DUMMYFUNCTION("""COMPUTED_VALUE"""),"https://scholar.google.com/citations?hl=pt-BR&amp;view_op=list_hcore&amp;venue=NPzpQ2AW63QJ.2024")</f>
        <v>https://scholar.google.com/citations?hl=pt-BR&amp;view_op=list_hcore&amp;venue=NPzpQ2AW63QJ.2024</v>
      </c>
      <c r="I22" s="60" t="str">
        <f>IFERROR(__xludf.DUMMYFUNCTION("""COMPUTED_VALUE"""),"https://dblp.org/db/conf/ecsqaru/index.html")</f>
        <v>https://dblp.org/db/conf/ecsqaru/index.html</v>
      </c>
    </row>
    <row r="23">
      <c r="A23" s="68" t="str">
        <f>IFERROR(__xludf.DUMMYFUNCTION("""COMPUTED_VALUE"""),"Eventos da Área")</f>
        <v>Eventos da Área</v>
      </c>
      <c r="B23" t="str">
        <f>IFERROR(__xludf.DUMMYFUNCTION("""COMPUTED_VALUE"""),"LA-CCI")</f>
        <v>LA-CCI</v>
      </c>
      <c r="C23" s="166" t="str">
        <f>IFERROR(__xludf.DUMMYFUNCTION("""COMPUTED_VALUE"""),"IEEE Latin American Conference on Computational Intelligence")</f>
        <v>IEEE Latin American Conference on Computational Intelligence</v>
      </c>
      <c r="D23">
        <f>IFERROR(__xludf.DUMMYFUNCTION("""COMPUTED_VALUE"""),10.0)</f>
        <v>10</v>
      </c>
      <c r="E23" s="147" t="str">
        <f>IFERROR(__xludf.DUMMYFUNCTION("""COMPUTED_VALUE"""),"https://scholar.google.com/citations?hl=en&amp;view_op=list_hcore&amp;venue=MQjh4nsifjAJ.2024")</f>
        <v>https://scholar.google.com/citations?hl=en&amp;view_op=list_hcore&amp;venue=MQjh4nsifjAJ.2024</v>
      </c>
      <c r="F23" s="168"/>
      <c r="G23" s="168"/>
      <c r="H23" s="129"/>
      <c r="I23" s="169" t="str">
        <f>IFERROR(__xludf.DUMMYFUNCTION("""COMPUTED_VALUE"""),"https://dblp.org/db/conf/lacci/index.html")</f>
        <v>https://dblp.org/db/conf/lacci/index.html</v>
      </c>
    </row>
    <row r="24">
      <c r="A24" s="68" t="str">
        <f>IFERROR(__xludf.DUMMYFUNCTION("""COMPUTED_VALUE"""),"Eventos da Área")</f>
        <v>Eventos da Área</v>
      </c>
      <c r="B24" t="str">
        <f>IFERROR(__xludf.DUMMYFUNCTION("""COMPUTED_VALUE"""),"PROPOR")</f>
        <v>PROPOR</v>
      </c>
      <c r="C24" s="104" t="str">
        <f>IFERROR(__xludf.DUMMYFUNCTION("""COMPUTED_VALUE"""),"International Conference on Computational Processing of the Portuguese Language")</f>
        <v>International Conference on Computational Processing of the Portuguese Language</v>
      </c>
      <c r="D24" s="99">
        <f>IFERROR(__xludf.DUMMYFUNCTION("""COMPUTED_VALUE"""),11.0)</f>
        <v>11</v>
      </c>
      <c r="E24" s="147" t="str">
        <f>IFERROR(__xludf.DUMMYFUNCTION("""COMPUTED_VALUE"""),"https://scholar.google.com/citations?hl=pt-BR&amp;view_op=list_hcore&amp;venue=8aBtgrGnL1MJ.2023")</f>
        <v>https://scholar.google.com/citations?hl=pt-BR&amp;view_op=list_hcore&amp;venue=8aBtgrGnL1MJ.2023</v>
      </c>
      <c r="F24" s="166"/>
      <c r="I24" s="60" t="str">
        <f>IFERROR(__xludf.DUMMYFUNCTION("""COMPUTED_VALUE"""),"https://dblp.org/db/conf/propor/index.html")</f>
        <v>https://dblp.org/db/conf/propor/index.html</v>
      </c>
    </row>
    <row r="25">
      <c r="A25" s="68" t="str">
        <f>IFERROR(__xludf.DUMMYFUNCTION("""COMPUTED_VALUE"""),"Eventos da Área")</f>
        <v>Eventos da Área</v>
      </c>
      <c r="B25" t="str">
        <f>IFERROR(__xludf.DUMMYFUNCTION("""COMPUTED_VALUE"""),"MICAI")</f>
        <v>MICAI</v>
      </c>
      <c r="C25" s="104" t="str">
        <f>IFERROR(__xludf.DUMMYFUNCTION("""COMPUTED_VALUE"""),"Mexican International Conference on Artificial Intelligence")</f>
        <v>Mexican International Conference on Artificial Intelligence</v>
      </c>
      <c r="D25" s="99">
        <f>IFERROR(__xludf.DUMMYFUNCTION("""COMPUTED_VALUE"""),12.0)</f>
        <v>12</v>
      </c>
      <c r="E25" s="147" t="str">
        <f>IFERROR(__xludf.DUMMYFUNCTION("""COMPUTED_VALUE"""),"https://scholar.google.com/citations?hl=en&amp;view_op=list_hcore&amp;venue=uhZEgJcD4mIJ.2024")</f>
        <v>https://scholar.google.com/citations?hl=en&amp;view_op=list_hcore&amp;venue=uhZEgJcD4mIJ.2024</v>
      </c>
      <c r="I25" s="60" t="str">
        <f>IFERROR(__xludf.DUMMYFUNCTION("""COMPUTED_VALUE"""),"https://dblp.org/db/conf/micai/index.html")</f>
        <v>https://dblp.org/db/conf/micai/index.html</v>
      </c>
    </row>
    <row r="26">
      <c r="A26" s="68" t="str">
        <f>IFERROR(__xludf.DUMMYFUNCTION("""COMPUTED_VALUE"""),"Eventos da Área")</f>
        <v>Eventos da Área</v>
      </c>
      <c r="B26" s="98" t="str">
        <f>IFERROR(__xludf.DUMMYFUNCTION("""COMPUTED_VALUE"""),"PGM")</f>
        <v>PGM</v>
      </c>
      <c r="C26" s="104" t="str">
        <f>IFERROR(__xludf.DUMMYFUNCTION("""COMPUTED_VALUE"""),"International Conference on Probabilistic Graphical Models")</f>
        <v>International Conference on Probabilistic Graphical Models</v>
      </c>
      <c r="D26" s="99">
        <f>IFERROR(__xludf.DUMMYFUNCTION("""COMPUTED_VALUE"""),13.0)</f>
        <v>13</v>
      </c>
      <c r="E26" s="147" t="str">
        <f>IFERROR(__xludf.DUMMYFUNCTION("""COMPUTED_VALUE"""),"https://scholar.google.com.br/citations?hl=pt-BR&amp;view_op=list_hcore&amp;venue=erUczV5NGi0J.2023")</f>
        <v>https://scholar.google.com.br/citations?hl=pt-BR&amp;view_op=list_hcore&amp;venue=erUczV5NGi0J.2023</v>
      </c>
      <c r="F26" s="98"/>
      <c r="G26" s="98"/>
      <c r="H26" s="98"/>
      <c r="I26" s="170"/>
      <c r="J26" s="170"/>
      <c r="K26" s="170"/>
      <c r="L26" s="170"/>
      <c r="M26" s="170"/>
      <c r="N26" s="170"/>
      <c r="O26" s="170"/>
      <c r="P26" s="170"/>
      <c r="Q26" s="170"/>
      <c r="R26" s="170"/>
      <c r="S26" s="170"/>
      <c r="T26" s="170"/>
      <c r="U26" s="170"/>
      <c r="V26" s="170"/>
      <c r="W26" s="170"/>
      <c r="X26" s="170"/>
      <c r="Y26" s="170"/>
      <c r="Z26" s="170"/>
    </row>
    <row r="27">
      <c r="A27" s="68" t="str">
        <f>IFERROR(__xludf.DUMMYFUNCTION("""COMPUTED_VALUE"""),"Eventos da Área")</f>
        <v>Eventos da Área</v>
      </c>
      <c r="B27" t="str">
        <f>IFERROR(__xludf.DUMMYFUNCTION("""COMPUTED_VALUE"""),"SACI")</f>
        <v>SACI</v>
      </c>
      <c r="C27" s="163" t="str">
        <f>IFERROR(__xludf.DUMMYFUNCTION("""COMPUTED_VALUE"""),"IEEE International Symposium on Applied Computational Intelligence and Informatics")</f>
        <v>IEEE International Symposium on Applied Computational Intelligence and Informatics</v>
      </c>
      <c r="D27" s="101">
        <f>IFERROR(__xludf.DUMMYFUNCTION("""COMPUTED_VALUE"""),13.0)</f>
        <v>13</v>
      </c>
      <c r="E27" s="147" t="str">
        <f>IFERROR(__xludf.DUMMYFUNCTION("""COMPUTED_VALUE"""),"https://scholar.google.com/citations?hl=en&amp;view_op=list_hcore&amp;venue=DBppmrSv3qgJ.2024")</f>
        <v>https://scholar.google.com/citations?hl=en&amp;view_op=list_hcore&amp;venue=DBppmrSv3qgJ.2024</v>
      </c>
      <c r="I27" s="60" t="str">
        <f>IFERROR(__xludf.DUMMYFUNCTION("""COMPUTED_VALUE"""),"https://dblp.org/db/conf/saci/index.html")</f>
        <v>https://dblp.org/db/conf/saci/index.html</v>
      </c>
    </row>
    <row r="28">
      <c r="A28" s="68" t="str">
        <f>IFERROR(__xludf.DUMMYFUNCTION("""COMPUTED_VALUE"""),"Eventos da Área")</f>
        <v>Eventos da Área</v>
      </c>
      <c r="B28" t="str">
        <f>IFERROR(__xludf.DUMMYFUNCTION("""COMPUTED_VALUE"""),"IPMU")</f>
        <v>IPMU</v>
      </c>
      <c r="C28" s="104" t="str">
        <f>IFERROR(__xludf.DUMMYFUNCTION("""COMPUTED_VALUE"""),"International Conference on Information Processing and Management of Uncertainty in Knowledge-Based Systems")</f>
        <v>International Conference on Information Processing and Management of Uncertainty in Knowledge-Based Systems</v>
      </c>
      <c r="D28" s="99">
        <f>IFERROR(__xludf.DUMMYFUNCTION("""COMPUTED_VALUE"""),12.0)</f>
        <v>12</v>
      </c>
      <c r="E28" s="147" t="str">
        <f>IFERROR(__xludf.DUMMYFUNCTION("""COMPUTED_VALUE"""),"https://scholar.google.com/citations?hl=pt-BR&amp;view_op=list_hcore&amp;venue=DxTMQsOcxf0J.2024")</f>
        <v>https://scholar.google.com/citations?hl=pt-BR&amp;view_op=list_hcore&amp;venue=DxTMQsOcxf0J.2024</v>
      </c>
      <c r="I28" s="60" t="str">
        <f>IFERROR(__xludf.DUMMYFUNCTION("""COMPUTED_VALUE"""),"https://dblp.org/db/conf/ipmu/index.html")</f>
        <v>https://dblp.org/db/conf/ipmu/index.html</v>
      </c>
    </row>
    <row r="29">
      <c r="A29" s="68" t="str">
        <f>IFERROR(__xludf.DUMMYFUNCTION("""COMPUTED_VALUE"""),"Eventos da Área")</f>
        <v>Eventos da Área</v>
      </c>
      <c r="C29" s="104" t="str">
        <f>IFERROR(__xludf.DUMMYFUNCTION("""COMPUTED_VALUE"""),"RoboCup Symposium")</f>
        <v>RoboCup Symposium</v>
      </c>
      <c r="D29" s="99">
        <f>IFERROR(__xludf.DUMMYFUNCTION("""COMPUTED_VALUE"""),12.0)</f>
        <v>12</v>
      </c>
      <c r="E29" s="147" t="str">
        <f>IFERROR(__xludf.DUMMYFUNCTION("""COMPUTED_VALUE"""),"https://scholar.google.com/citations?hl=en&amp;view_op=list_hcore&amp;venue=DxTMQsOcxf0J.2024")</f>
        <v>https://scholar.google.com/citations?hl=en&amp;view_op=list_hcore&amp;venue=DxTMQsOcxf0J.2024</v>
      </c>
      <c r="I29" s="60" t="str">
        <f>IFERROR(__xludf.DUMMYFUNCTION("""COMPUTED_VALUE"""),"https://dblp.org/search?q=RoboCup%20Symposium")</f>
        <v>https://dblp.org/search?q=RoboCup%20Symposium</v>
      </c>
    </row>
    <row r="30">
      <c r="A30" s="68" t="str">
        <f>IFERROR(__xludf.DUMMYFUNCTION("""COMPUTED_VALUE"""),"Eventos da Área")</f>
        <v>Eventos da Área</v>
      </c>
      <c r="B30" t="str">
        <f>IFERROR(__xludf.DUMMYFUNCTION("""COMPUTED_VALUE"""),"SCS")</f>
        <v>SCS</v>
      </c>
      <c r="C30" s="104" t="str">
        <f>IFERROR(__xludf.DUMMYFUNCTION("""COMPUTED_VALUE"""),"Symposium on Combinatorial Search")</f>
        <v>Symposium on Combinatorial Search</v>
      </c>
      <c r="D30" s="99">
        <f>IFERROR(__xludf.DUMMYFUNCTION("""COMPUTED_VALUE"""),21.0)</f>
        <v>21</v>
      </c>
      <c r="E30" s="147" t="str">
        <f>IFERROR(__xludf.DUMMYFUNCTION("""COMPUTED_VALUE"""),"https://scholar.google.com/citations?hl=en&amp;view_op=list_hcore&amp;venue=7xJ2M-o6QYwJ.2024")</f>
        <v>https://scholar.google.com/citations?hl=en&amp;view_op=list_hcore&amp;venue=7xJ2M-o6QYwJ.2024</v>
      </c>
      <c r="I30" s="60" t="str">
        <f>IFERROR(__xludf.DUMMYFUNCTION("""COMPUTED_VALUE"""),"https://dblp.org/db/conf/socs/index.html")</f>
        <v>https://dblp.org/db/conf/socs/index.html</v>
      </c>
    </row>
    <row r="31">
      <c r="A31" s="68" t="str">
        <f>IFERROR(__xludf.DUMMYFUNCTION("""COMPUTED_VALUE"""),"Eventos da Área")</f>
        <v>Eventos da Área</v>
      </c>
      <c r="B31" s="166" t="str">
        <f>IFERROR(__xludf.DUMMYFUNCTION("""COMPUTED_VALUE"""),"AIIDE")</f>
        <v>AIIDE</v>
      </c>
      <c r="C31" s="104" t="str">
        <f>IFERROR(__xludf.DUMMYFUNCTION("""COMPUTED_VALUE"""),"AAAI Conference on Artificial Intelligence and Interactive Digital Entertainment")</f>
        <v>AAAI Conference on Artificial Intelligence and Interactive Digital Entertainment</v>
      </c>
      <c r="D31" s="99">
        <f>IFERROR(__xludf.DUMMYFUNCTION("""COMPUTED_VALUE"""),21.0)</f>
        <v>21</v>
      </c>
      <c r="E31" s="147" t="str">
        <f>IFERROR(__xludf.DUMMYFUNCTION("""COMPUTED_VALUE"""),"https://scholar.google.com/citations?hl=pt-BR&amp;view_op=list_hcore&amp;venue=5m22OTMIZYcJ.2024")</f>
        <v>https://scholar.google.com/citations?hl=pt-BR&amp;view_op=list_hcore&amp;venue=5m22OTMIZYcJ.2024</v>
      </c>
      <c r="I31" s="60" t="str">
        <f>IFERROR(__xludf.DUMMYFUNCTION("""COMPUTED_VALUE"""),"https://dblp.org/db/conf/aiide/index.html")</f>
        <v>https://dblp.org/db/conf/aiide/index.html</v>
      </c>
    </row>
    <row r="32">
      <c r="A32" s="68" t="str">
        <f>IFERROR(__xludf.DUMMYFUNCTION("""COMPUTED_VALUE"""),"Eventos da Área")</f>
        <v>Eventos da Área</v>
      </c>
      <c r="B32" t="str">
        <f>IFERROR(__xludf.DUMMYFUNCTION("""COMPUTED_VALUE"""),"ACII")</f>
        <v>ACII</v>
      </c>
      <c r="C32" s="104" t="str">
        <f>IFERROR(__xludf.DUMMYFUNCTION("""COMPUTED_VALUE"""),"International Conference on Affective Computing and Intelligent Interaction")</f>
        <v>International Conference on Affective Computing and Intelligent Interaction</v>
      </c>
      <c r="D32" s="99">
        <f>IFERROR(__xludf.DUMMYFUNCTION("""COMPUTED_VALUE"""),24.0)</f>
        <v>24</v>
      </c>
      <c r="E32" s="147" t="str">
        <f>IFERROR(__xludf.DUMMYFUNCTION("""COMPUTED_VALUE"""),"https://scholar.google.com/citations?hl=en&amp;view_op=list_hcore&amp;venue=5m22OTMIZYcJ.2024")</f>
        <v>https://scholar.google.com/citations?hl=en&amp;view_op=list_hcore&amp;venue=5m22OTMIZYcJ.2024</v>
      </c>
    </row>
    <row r="33">
      <c r="A33" s="68" t="str">
        <f>IFERROR(__xludf.DUMMYFUNCTION("""COMPUTED_VALUE"""),"Eventos da Área")</f>
        <v>Eventos da Área</v>
      </c>
      <c r="B33" t="str">
        <f>IFERROR(__xludf.DUMMYFUNCTION("""COMPUTED_VALUE"""),"ICTAI")</f>
        <v>ICTAI</v>
      </c>
      <c r="C33" t="str">
        <f>IFERROR(__xludf.DUMMYFUNCTION("""COMPUTED_VALUE"""),"International Conference on Tools with Artificial Intelligence")</f>
        <v>International Conference on Tools with Artificial Intelligence</v>
      </c>
      <c r="D33">
        <f>IFERROR(__xludf.DUMMYFUNCTION("""COMPUTED_VALUE"""),28.0)</f>
        <v>28</v>
      </c>
      <c r="E33" s="147" t="str">
        <f>IFERROR(__xludf.DUMMYFUNCTION("""COMPUTED_VALUE"""),"https://scholar.google.com/citations?hl=pt-BR&amp;view_op=list_hcore&amp;venue=7SUUxQF2w2cJ.2024")</f>
        <v>https://scholar.google.com/citations?hl=pt-BR&amp;view_op=list_hcore&amp;venue=7SUUxQF2w2cJ.2024</v>
      </c>
      <c r="I33" s="60" t="str">
        <f>IFERROR(__xludf.DUMMYFUNCTION("""COMPUTED_VALUE"""),"https://dblp.org/db/conf/ictai/index.html")</f>
        <v>https://dblp.org/db/conf/ictai/index.html</v>
      </c>
    </row>
    <row r="34">
      <c r="A34" s="68" t="str">
        <f>IFERROR(__xludf.DUMMYFUNCTION("""COMPUTED_VALUE"""),"Eventos da Área")</f>
        <v>Eventos da Área</v>
      </c>
      <c r="C34" s="171" t="str">
        <f>IFERROR(__xludf.DUMMYFUNCTION("""COMPUTED_VALUE"""),"International Conference on Neural Information Processing")</f>
        <v>International Conference on Neural Information Processing</v>
      </c>
      <c r="D34">
        <f>IFERROR(__xludf.DUMMYFUNCTION("""COMPUTED_VALUE"""),28.0)</f>
        <v>28</v>
      </c>
      <c r="E34" s="147" t="str">
        <f>IFERROR(__xludf.DUMMYFUNCTION("""COMPUTED_VALUE"""),"https://scholar.google.com/citations?hl=en&amp;view_op=list_hcore&amp;venue=7SUUxQF2w2cJ.2024")</f>
        <v>https://scholar.google.com/citations?hl=en&amp;view_op=list_hcore&amp;venue=7SUUxQF2w2cJ.2024</v>
      </c>
      <c r="I34" s="60" t="str">
        <f>IFERROR(__xludf.DUMMYFUNCTION("""COMPUTED_VALUE"""),"https://dblp.org/db/conf/iconip/index.html")</f>
        <v>https://dblp.org/db/conf/iconip/index.html</v>
      </c>
    </row>
    <row r="35">
      <c r="A35" s="68" t="str">
        <f>IFERROR(__xludf.DUMMYFUNCTION("""COMPUTED_VALUE"""),"Eventos da Área")</f>
        <v>Eventos da Área</v>
      </c>
      <c r="B35" t="str">
        <f>IFERROR(__xludf.DUMMYFUNCTION("""COMPUTED_VALUE"""),"INLG")</f>
        <v>INLG</v>
      </c>
      <c r="C35" s="104" t="str">
        <f>IFERROR(__xludf.DUMMYFUNCTION("""COMPUTED_VALUE"""),"International Natural Language Generation Conference")</f>
        <v>International Natural Language Generation Conference</v>
      </c>
      <c r="D35" s="99">
        <f>IFERROR(__xludf.DUMMYFUNCTION("""COMPUTED_VALUE"""),29.0)</f>
        <v>29</v>
      </c>
      <c r="E35" s="147" t="str">
        <f>IFERROR(__xludf.DUMMYFUNCTION("""COMPUTED_VALUE"""),"https://scholar.google.com/citations?hl=pt-BR&amp;view_op=list_hcore&amp;venue=WcIBEdCoDl0J.2024")</f>
        <v>https://scholar.google.com/citations?hl=pt-BR&amp;view_op=list_hcore&amp;venue=WcIBEdCoDl0J.2024</v>
      </c>
      <c r="I35" s="60" t="str">
        <f>IFERROR(__xludf.DUMMYFUNCTION("""COMPUTED_VALUE"""),"https://dblp.org/db/conf/inlg/index.html")</f>
        <v>https://dblp.org/db/conf/inlg/index.html</v>
      </c>
    </row>
    <row r="36">
      <c r="A36" s="68" t="str">
        <f>IFERROR(__xludf.DUMMYFUNCTION("""COMPUTED_VALUE"""),"Eventos da Área")</f>
        <v>Eventos da Área</v>
      </c>
      <c r="B36" t="str">
        <f>IFERROR(__xludf.DUMMYFUNCTION("""COMPUTED_VALUE"""),"UbiComp")</f>
        <v>UbiComp</v>
      </c>
      <c r="C36" s="104" t="str">
        <f>IFERROR(__xludf.DUMMYFUNCTION("""COMPUTED_VALUE"""),"ACM Conference on Pervasive and Ubiquitous Computing")</f>
        <v>ACM Conference on Pervasive and Ubiquitous Computing</v>
      </c>
      <c r="D36" s="99">
        <f>IFERROR(__xludf.DUMMYFUNCTION("""COMPUTED_VALUE"""),31.0)</f>
        <v>31</v>
      </c>
      <c r="E36" s="147" t="str">
        <f>IFERROR(__xludf.DUMMYFUNCTION("""COMPUTED_VALUE"""),"https://scholar.google.com/citations?hl=en&amp;view_op=list_hcore&amp;venue=WcIBEdCoDl0J.2024")</f>
        <v>https://scholar.google.com/citations?hl=en&amp;view_op=list_hcore&amp;venue=WcIBEdCoDl0J.2024</v>
      </c>
    </row>
    <row r="37">
      <c r="A37" s="68" t="str">
        <f>IFERROR(__xludf.DUMMYFUNCTION("""COMPUTED_VALUE"""),"Eventos da Área")</f>
        <v>Eventos da Área</v>
      </c>
      <c r="B37" t="str">
        <f>IFERROR(__xludf.DUMMYFUNCTION("""COMPUTED_VALUE"""),"CIG")</f>
        <v>CIG</v>
      </c>
      <c r="C37" s="104" t="str">
        <f>IFERROR(__xludf.DUMMYFUNCTION("""COMPUTED_VALUE"""),"IEEE Conference on Computational Intelligence and Games")</f>
        <v>IEEE Conference on Computational Intelligence and Games</v>
      </c>
      <c r="D37" s="99">
        <f>IFERROR(__xludf.DUMMYFUNCTION("""COMPUTED_VALUE"""),31.0)</f>
        <v>31</v>
      </c>
      <c r="E37" s="147" t="str">
        <f>IFERROR(__xludf.DUMMYFUNCTION("""COMPUTED_VALUE"""),"https://scholar.google.com/citations?hl=en&amp;view_op=list_hcore&amp;venue=HU8fT-f-Q8YJ.2024")</f>
        <v>https://scholar.google.com/citations?hl=en&amp;view_op=list_hcore&amp;venue=HU8fT-f-Q8YJ.2024</v>
      </c>
      <c r="I37" s="60" t="str">
        <f>IFERROR(__xludf.DUMMYFUNCTION("""COMPUTED_VALUE"""),"https://dblp.org/db/conf/cig/index.html")</f>
        <v>https://dblp.org/db/conf/cig/index.html</v>
      </c>
    </row>
    <row r="38">
      <c r="A38" s="68" t="str">
        <f>IFERROR(__xludf.DUMMYFUNCTION("""COMPUTED_VALUE"""),"Eventos da Área")</f>
        <v>Eventos da Área</v>
      </c>
      <c r="B38" t="str">
        <f>IFERROR(__xludf.DUMMYFUNCTION("""COMPUTED_VALUE"""),"PAKDD")</f>
        <v>PAKDD</v>
      </c>
      <c r="C38" s="104" t="str">
        <f>IFERROR(__xludf.DUMMYFUNCTION("""COMPUTED_VALUE"""),"Pacific-Asia Conference on Knowledge Discovery and Data Mining")</f>
        <v>Pacific-Asia Conference on Knowledge Discovery and Data Mining</v>
      </c>
      <c r="D38" s="99">
        <f>IFERROR(__xludf.DUMMYFUNCTION("""COMPUTED_VALUE"""),30.0)</f>
        <v>30</v>
      </c>
      <c r="E38" s="147" t="str">
        <f>IFERROR(__xludf.DUMMYFUNCTION("""COMPUTED_VALUE"""),"https://scholar.google.com/citations?hl=pt-BR&amp;view_op=list_hcore&amp;venue=I9UJ598p80sJ.2024")</f>
        <v>https://scholar.google.com/citations?hl=pt-BR&amp;view_op=list_hcore&amp;venue=I9UJ598p80sJ.2024</v>
      </c>
      <c r="I38" s="60" t="str">
        <f>IFERROR(__xludf.DUMMYFUNCTION("""COMPUTED_VALUE"""),"https://dblp.org/db/conf/pakdd/index.html")</f>
        <v>https://dblp.org/db/conf/pakdd/index.html</v>
      </c>
    </row>
    <row r="39">
      <c r="A39" s="68" t="str">
        <f>IFERROR(__xludf.DUMMYFUNCTION("""COMPUTED_VALUE"""),"Eventos da Área")</f>
        <v>Eventos da Área</v>
      </c>
      <c r="B39" t="str">
        <f>IFERROR(__xludf.DUMMYFUNCTION("""COMPUTED_VALUE"""),"SMC")</f>
        <v>SMC</v>
      </c>
      <c r="C39" t="str">
        <f>IFERROR(__xludf.DUMMYFUNCTION("""COMPUTED_VALUE"""),"IEEE International Conference on Systems, Man and Cybernetics")</f>
        <v>IEEE International Conference on Systems, Man and Cybernetics</v>
      </c>
      <c r="D39">
        <f>IFERROR(__xludf.DUMMYFUNCTION("""COMPUTED_VALUE"""),32.0)</f>
        <v>32</v>
      </c>
      <c r="E39" s="147" t="str">
        <f>IFERROR(__xludf.DUMMYFUNCTION("""COMPUTED_VALUE"""),"https://scholar.google.com/citations?hl=en&amp;view_op=list_hcore&amp;venue=I9UJ598p80sJ.2024")</f>
        <v>https://scholar.google.com/citations?hl=en&amp;view_op=list_hcore&amp;venue=I9UJ598p80sJ.2024</v>
      </c>
      <c r="I39" s="60" t="str">
        <f>IFERROR(__xludf.DUMMYFUNCTION("""COMPUTED_VALUE"""),"https://dblp.org/db/conf/smc/index.html")</f>
        <v>https://dblp.org/db/conf/smc/index.html</v>
      </c>
    </row>
    <row r="40">
      <c r="A40" s="68" t="str">
        <f>IFERROR(__xludf.DUMMYFUNCTION("""COMPUTED_VALUE"""),"Eventos da Área")</f>
        <v>Eventos da Área</v>
      </c>
      <c r="B40" t="str">
        <f>IFERROR(__xludf.DUMMYFUNCTION("""COMPUTED_VALUE"""),"EACL")</f>
        <v>EACL</v>
      </c>
      <c r="C40" t="str">
        <f>IFERROR(__xludf.DUMMYFUNCTION("""COMPUTED_VALUE"""),"Conference of the European Chapter of the Association for Computational Linguistics")</f>
        <v>Conference of the European Chapter of the Association for Computational Linguistics</v>
      </c>
      <c r="D40">
        <f>IFERROR(__xludf.DUMMYFUNCTION("""COMPUTED_VALUE"""),56.0)</f>
        <v>56</v>
      </c>
      <c r="E40" s="147" t="str">
        <f>IFERROR(__xludf.DUMMYFUNCTION("""COMPUTED_VALUE"""),"https://scholar.google.com/citations?hl=en&amp;view_op=list_hcore&amp;venue=JnFTLT-D1FUJ.2024")</f>
        <v>https://scholar.google.com/citations?hl=en&amp;view_op=list_hcore&amp;venue=JnFTLT-D1FUJ.2024</v>
      </c>
      <c r="I40" s="60" t="str">
        <f>IFERROR(__xludf.DUMMYFUNCTION("""COMPUTED_VALUE"""),"https://dblp.org/db/conf/eacl/index.html")</f>
        <v>https://dblp.org/db/conf/eacl/index.html</v>
      </c>
    </row>
    <row r="41">
      <c r="A41" s="68" t="str">
        <f>IFERROR(__xludf.DUMMYFUNCTION("""COMPUTED_VALUE"""),"Eventos da Área")</f>
        <v>Eventos da Área</v>
      </c>
      <c r="B41" t="str">
        <f>IFERROR(__xludf.DUMMYFUNCTION("""COMPUTED_VALUE"""),"ICMLA")</f>
        <v>ICMLA</v>
      </c>
      <c r="C41" t="str">
        <f>IFERROR(__xludf.DUMMYFUNCTION("""COMPUTED_VALUE"""),"International Conference on Machine Learning and Applications")</f>
        <v>International Conference on Machine Learning and Applications</v>
      </c>
      <c r="D41">
        <f>IFERROR(__xludf.DUMMYFUNCTION("""COMPUTED_VALUE"""),35.0)</f>
        <v>35</v>
      </c>
      <c r="E41" s="147" t="str">
        <f>IFERROR(__xludf.DUMMYFUNCTION("""COMPUTED_VALUE"""),"https://scholar.google.com/citations?hl=en&amp;view_op=list_hcore&amp;venue=jv1gvzv4-LgJ.2024")</f>
        <v>https://scholar.google.com/citations?hl=en&amp;view_op=list_hcore&amp;venue=jv1gvzv4-LgJ.2024</v>
      </c>
      <c r="I41" s="60" t="str">
        <f>IFERROR(__xludf.DUMMYFUNCTION("""COMPUTED_VALUE"""),"https://dblp.org/db/conf/icmla/index.html")</f>
        <v>https://dblp.org/db/conf/icmla/index.html</v>
      </c>
    </row>
    <row r="42">
      <c r="A42" s="68" t="str">
        <f>IFERROR(__xludf.DUMMYFUNCTION("""COMPUTED_VALUE"""),"Eventos da Área")</f>
        <v>Eventos da Área</v>
      </c>
      <c r="B42" t="str">
        <f>IFERROR(__xludf.DUMMYFUNCTION("""COMPUTED_VALUE"""),"ISWC")</f>
        <v>ISWC</v>
      </c>
      <c r="C42" t="str">
        <f>IFERROR(__xludf.DUMMYFUNCTION("""COMPUTED_VALUE"""),"International Semantic Web Conference")</f>
        <v>International Semantic Web Conference</v>
      </c>
      <c r="D42">
        <f>IFERROR(__xludf.DUMMYFUNCTION("""COMPUTED_VALUE"""),37.0)</f>
        <v>37</v>
      </c>
      <c r="E42" s="147" t="str">
        <f>IFERROR(__xludf.DUMMYFUNCTION("""COMPUTED_VALUE"""),"https://scholar.google.com/citations?hl=pt-BR&amp;view_op=list_hcore&amp;venue=AETH84_wOIQJ.2024")</f>
        <v>https://scholar.google.com/citations?hl=pt-BR&amp;view_op=list_hcore&amp;venue=AETH84_wOIQJ.2024</v>
      </c>
      <c r="I42" s="60" t="str">
        <f>IFERROR(__xludf.DUMMYFUNCTION("""COMPUTED_VALUE"""),"https://dblp.org/db/conf/semweb/index.html")</f>
        <v>https://dblp.org/db/conf/semweb/index.html</v>
      </c>
    </row>
    <row r="43">
      <c r="A43" s="68" t="str">
        <f>IFERROR(__xludf.DUMMYFUNCTION("""COMPUTED_VALUE"""),"Eventos da Área")</f>
        <v>Eventos da Área</v>
      </c>
      <c r="B43" t="str">
        <f>IFERROR(__xludf.DUMMYFUNCTION("""COMPUTED_VALUE"""),"ESWC")</f>
        <v>ESWC</v>
      </c>
      <c r="C43" t="str">
        <f>IFERROR(__xludf.DUMMYFUNCTION("""COMPUTED_VALUE"""),"European Semantic Web Conference")</f>
        <v>European Semantic Web Conference</v>
      </c>
      <c r="D43">
        <f>IFERROR(__xludf.DUMMYFUNCTION("""COMPUTED_VALUE"""),41.0)</f>
        <v>41</v>
      </c>
      <c r="E43" s="147" t="str">
        <f>IFERROR(__xludf.DUMMYFUNCTION("""COMPUTED_VALUE"""),"https://scholar.google.com/citations?hl=en&amp;view_op=list_hcore&amp;venue=AETH84_wOIQJ.2024")</f>
        <v>https://scholar.google.com/citations?hl=en&amp;view_op=list_hcore&amp;venue=AETH84_wOIQJ.2024</v>
      </c>
      <c r="I43" s="60" t="str">
        <f>IFERROR(__xludf.DUMMYFUNCTION("""COMPUTED_VALUE"""),"https://dblp.org/db/conf/esws/index.html")</f>
        <v>https://dblp.org/db/conf/esws/index.html</v>
      </c>
    </row>
    <row r="44">
      <c r="A44" s="68" t="str">
        <f>IFERROR(__xludf.DUMMYFUNCTION("""COMPUTED_VALUE"""),"Eventos da Área")</f>
        <v>Eventos da Área</v>
      </c>
      <c r="B44" t="str">
        <f>IFERROR(__xludf.DUMMYFUNCTION("""COMPUTED_VALUE"""),"ECML PKDD")</f>
        <v>ECML PKDD</v>
      </c>
      <c r="C44" t="str">
        <f>IFERROR(__xludf.DUMMYFUNCTION("""COMPUTED_VALUE"""),"European Conference on Machine Learning and Knowledge Discovery in Databases")</f>
        <v>European Conference on Machine Learning and Knowledge Discovery in Databases</v>
      </c>
      <c r="D44">
        <f>IFERROR(__xludf.DUMMYFUNCTION("""COMPUTED_VALUE"""),45.0)</f>
        <v>45</v>
      </c>
      <c r="E44" s="147" t="str">
        <f>IFERROR(__xludf.DUMMYFUNCTION("""COMPUTED_VALUE"""),"https://scholar.google.com/citations?hl=en&amp;view_op=list_hcore&amp;venue=B_DfwWWmEnMJ.2024")</f>
        <v>https://scholar.google.com/citations?hl=en&amp;view_op=list_hcore&amp;venue=B_DfwWWmEnMJ.2024</v>
      </c>
    </row>
    <row r="45">
      <c r="A45" s="68" t="str">
        <f>IFERROR(__xludf.DUMMYFUNCTION("""COMPUTED_VALUE"""),"Eventos da Área")</f>
        <v>Eventos da Área</v>
      </c>
      <c r="B45" t="str">
        <f>IFERROR(__xludf.DUMMYFUNCTION("""COMPUTED_VALUE"""),"IUI")</f>
        <v>IUI</v>
      </c>
      <c r="C45" t="str">
        <f>IFERROR(__xludf.DUMMYFUNCTION("""COMPUTED_VALUE"""),"International Conference on Intelligent User Interfaces")</f>
        <v>International Conference on Intelligent User Interfaces</v>
      </c>
      <c r="D45">
        <f>IFERROR(__xludf.DUMMYFUNCTION("""COMPUTED_VALUE"""),52.0)</f>
        <v>52</v>
      </c>
      <c r="E45" s="147" t="str">
        <f>IFERROR(__xludf.DUMMYFUNCTION("""COMPUTED_VALUE"""),"https://scholar.google.com/citations?hl=pt-BR&amp;view_op=list_hcore&amp;venue=-_BzfdwqRVsJ.2024")</f>
        <v>https://scholar.google.com/citations?hl=pt-BR&amp;view_op=list_hcore&amp;venue=-_BzfdwqRVsJ.2024</v>
      </c>
      <c r="I45" s="60" t="str">
        <f>IFERROR(__xludf.DUMMYFUNCTION("""COMPUTED_VALUE"""),"https://dblp.org/db/conf/iui/index.html")</f>
        <v>https://dblp.org/db/conf/iui/index.html</v>
      </c>
    </row>
    <row r="46">
      <c r="A46" s="68" t="str">
        <f>IFERROR(__xludf.DUMMYFUNCTION("""COMPUTED_VALUE"""),"Eventos da Área")</f>
        <v>Eventos da Área</v>
      </c>
      <c r="B46" t="str">
        <f>IFERROR(__xludf.DUMMYFUNCTION("""COMPUTED_VALUE"""),"RecSYS")</f>
        <v>RecSYS</v>
      </c>
      <c r="C46" t="str">
        <f>IFERROR(__xludf.DUMMYFUNCTION("""COMPUTED_VALUE"""),"ACM Conference on Recommender Systems")</f>
        <v>ACM Conference on Recommender Systems</v>
      </c>
      <c r="D46">
        <f>IFERROR(__xludf.DUMMYFUNCTION("""COMPUTED_VALUE"""),49.0)</f>
        <v>49</v>
      </c>
      <c r="E46" s="147" t="str">
        <f>IFERROR(__xludf.DUMMYFUNCTION("""COMPUTED_VALUE"""),"https://scholar.google.com/citations?hl=en&amp;view_op=list_hcore&amp;venue=-_BzfdwqRVsJ.2024")</f>
        <v>https://scholar.google.com/citations?hl=en&amp;view_op=list_hcore&amp;venue=-_BzfdwqRVsJ.2024</v>
      </c>
      <c r="I46" s="60" t="str">
        <f>IFERROR(__xludf.DUMMYFUNCTION("""COMPUTED_VALUE"""),"https://dblp.org/db/conf/recsys/index.html")</f>
        <v>https://dblp.org/db/conf/recsys/index.html</v>
      </c>
    </row>
    <row r="47">
      <c r="A47" s="68" t="str">
        <f>IFERROR(__xludf.DUMMYFUNCTION("""COMPUTED_VALUE"""),"Eventos da Área")</f>
        <v>Eventos da Área</v>
      </c>
      <c r="B47" t="str">
        <f>IFERROR(__xludf.DUMMYFUNCTION("""COMPUTED_VALUE"""),"DMIN")</f>
        <v>DMIN</v>
      </c>
      <c r="C47" t="str">
        <f>IFERROR(__xludf.DUMMYFUNCTION("""COMPUTED_VALUE"""),"International Conference on Data Mining")</f>
        <v>International Conference on Data Mining</v>
      </c>
      <c r="D47">
        <f>IFERROR(__xludf.DUMMYFUNCTION("""COMPUTED_VALUE"""),50.0)</f>
        <v>50</v>
      </c>
      <c r="E47" s="147" t="str">
        <f>IFERROR(__xludf.DUMMYFUNCTION("""COMPUTED_VALUE"""),"https://scholar.google.com/citations?hl=en&amp;view_op=list_hcore&amp;venue=A0l3VPFKwDYJ.2024")</f>
        <v>https://scholar.google.com/citations?hl=en&amp;view_op=list_hcore&amp;venue=A0l3VPFKwDYJ.2024</v>
      </c>
      <c r="I47" s="60" t="str">
        <f>IFERROR(__xludf.DUMMYFUNCTION("""COMPUTED_VALUE"""),"https://dblp.org/db/conf/dmin/index.html")</f>
        <v>https://dblp.org/db/conf/dmin/index.html</v>
      </c>
    </row>
    <row r="48">
      <c r="A48" s="68" t="str">
        <f>IFERROR(__xludf.DUMMYFUNCTION("""COMPUTED_VALUE"""),"Eventos da Área")</f>
        <v>Eventos da Área</v>
      </c>
      <c r="B48" t="str">
        <f>IFERROR(__xludf.DUMMYFUNCTION("""COMPUTED_VALUE"""),"ICPR")</f>
        <v>ICPR</v>
      </c>
      <c r="C48" t="str">
        <f>IFERROR(__xludf.DUMMYFUNCTION("""COMPUTED_VALUE"""),"International Conference on Pattern Recognition")</f>
        <v>International Conference on Pattern Recognition</v>
      </c>
      <c r="D48">
        <f>IFERROR(__xludf.DUMMYFUNCTION("""COMPUTED_VALUE"""),56.0)</f>
        <v>56</v>
      </c>
      <c r="E48" s="147" t="str">
        <f>IFERROR(__xludf.DUMMYFUNCTION("""COMPUTED_VALUE"""),"https://scholar.google.com/citations?hl=en&amp;view_op=list_hcore&amp;venue=cVHg_1PrXPkJ.2024")</f>
        <v>https://scholar.google.com/citations?hl=en&amp;view_op=list_hcore&amp;venue=cVHg_1PrXPkJ.2024</v>
      </c>
      <c r="I48" s="60" t="str">
        <f>IFERROR(__xludf.DUMMYFUNCTION("""COMPUTED_VALUE"""),"https://dblp.org/db/conf/icpr/index.html")</f>
        <v>https://dblp.org/db/conf/icpr/index.html</v>
      </c>
    </row>
    <row r="49">
      <c r="A49" s="68" t="str">
        <f>IFERROR(__xludf.DUMMYFUNCTION("""COMPUTED_VALUE"""),"Eventos da Área")</f>
        <v>Eventos da Área</v>
      </c>
      <c r="B49" t="str">
        <f>IFERROR(__xludf.DUMMYFUNCTION("""COMPUTED_VALUE"""),"IJCNN")</f>
        <v>IJCNN</v>
      </c>
      <c r="C49" t="str">
        <f>IFERROR(__xludf.DUMMYFUNCTION("""COMPUTED_VALUE"""),"International Joint Conference on Neural Networks")</f>
        <v>International Joint Conference on Neural Networks</v>
      </c>
      <c r="D49">
        <f>IFERROR(__xludf.DUMMYFUNCTION("""COMPUTED_VALUE"""),64.0)</f>
        <v>64</v>
      </c>
      <c r="E49" s="147" t="str">
        <f>IFERROR(__xludf.DUMMYFUNCTION("""COMPUTED_VALUE"""),"https://scholar.google.com/citations?hl=en&amp;view_op=list_hcore&amp;venue=-t1SY74YlYcJ.2024")</f>
        <v>https://scholar.google.com/citations?hl=en&amp;view_op=list_hcore&amp;venue=-t1SY74YlYcJ.2024</v>
      </c>
      <c r="I49" s="60" t="str">
        <f>IFERROR(__xludf.DUMMYFUNCTION("""COMPUTED_VALUE"""),"https://dblp.org/db/conf/ijcnn/index.html")</f>
        <v>https://dblp.org/db/conf/ijcnn/index.html</v>
      </c>
    </row>
    <row r="50">
      <c r="A50" s="68" t="str">
        <f>IFERROR(__xludf.DUMMYFUNCTION("""COMPUTED_VALUE"""),"Eventos da Área")</f>
        <v>Eventos da Área</v>
      </c>
      <c r="B50" t="str">
        <f>IFERROR(__xludf.DUMMYFUNCTION("""COMPUTED_VALUE"""),"COLING")</f>
        <v>COLING</v>
      </c>
      <c r="C50" t="str">
        <f>IFERROR(__xludf.DUMMYFUNCTION("""COMPUTED_VALUE"""),"International Conference on Computational Linguistics")</f>
        <v>International Conference on Computational Linguistics</v>
      </c>
      <c r="D50">
        <f>IFERROR(__xludf.DUMMYFUNCTION("""COMPUTED_VALUE"""),65.0)</f>
        <v>65</v>
      </c>
      <c r="E50" s="147" t="str">
        <f>IFERROR(__xludf.DUMMYFUNCTION("""COMPUTED_VALUE"""),"https://scholar.google.com/citations?hl=pt-BR&amp;view_op=list_hcore&amp;venue=6AfzgED5a7MJ.2024")</f>
        <v>https://scholar.google.com/citations?hl=pt-BR&amp;view_op=list_hcore&amp;venue=6AfzgED5a7MJ.2024</v>
      </c>
      <c r="I50" s="60" t="str">
        <f>IFERROR(__xludf.DUMMYFUNCTION("""COMPUTED_VALUE"""),"https://dblp.org/db/conf/coling/index.html")</f>
        <v>https://dblp.org/db/conf/coling/index.html</v>
      </c>
    </row>
    <row r="51">
      <c r="A51" s="68" t="str">
        <f>IFERROR(__xludf.DUMMYFUNCTION("""COMPUTED_VALUE"""),"Eventos da Área")</f>
        <v>Eventos da Área</v>
      </c>
      <c r="B51" t="str">
        <f>IFERROR(__xludf.DUMMYFUNCTION("""COMPUTED_VALUE"""),"ACM-CIKM")</f>
        <v>ACM-CIKM</v>
      </c>
      <c r="C51" t="str">
        <f>IFERROR(__xludf.DUMMYFUNCTION("""COMPUTED_VALUE"""),"ACM International Conference on Information and Knowledge Management")</f>
        <v>ACM International Conference on Information and Knowledge Management</v>
      </c>
      <c r="D51">
        <f>IFERROR(__xludf.DUMMYFUNCTION("""COMPUTED_VALUE"""),79.0)</f>
        <v>79</v>
      </c>
      <c r="E51" s="147" t="str">
        <f>IFERROR(__xludf.DUMMYFUNCTION("""COMPUTED_VALUE"""),"https://scholar.google.com/citations?hl=en&amp;view_op=list_hcore&amp;venue=6AfzgED5a7MJ.2024")</f>
        <v>https://scholar.google.com/citations?hl=en&amp;view_op=list_hcore&amp;venue=6AfzgED5a7MJ.2024</v>
      </c>
      <c r="I51" s="60" t="str">
        <f>IFERROR(__xludf.DUMMYFUNCTION("""COMPUTED_VALUE"""),"https://dblp.org/db/conf/cikm/index.html")</f>
        <v>https://dblp.org/db/conf/cikm/index.html</v>
      </c>
    </row>
    <row r="52">
      <c r="A52" s="68" t="str">
        <f>IFERROR(__xludf.DUMMYFUNCTION("""COMPUTED_VALUE"""),"Eventos da Área")</f>
        <v>Eventos da Área</v>
      </c>
      <c r="B52" t="str">
        <f>IFERROR(__xludf.DUMMYFUNCTION("""COMPUTED_VALUE"""),"CEC")</f>
        <v>CEC</v>
      </c>
      <c r="C52" t="str">
        <f>IFERROR(__xludf.DUMMYFUNCTION("""COMPUTED_VALUE"""),"IEEE Congress on Evolutionary Computation")</f>
        <v>IEEE Congress on Evolutionary Computation</v>
      </c>
      <c r="D52">
        <f>IFERROR(__xludf.DUMMYFUNCTION("""COMPUTED_VALUE"""),89.0)</f>
        <v>89</v>
      </c>
      <c r="E52" s="147" t="str">
        <f>IFERROR(__xludf.DUMMYFUNCTION("""COMPUTED_VALUE"""),"https://scholar.google.com/citations?hl=en&amp;view_op=list_hcore&amp;venue=ThxTsNVxvT8J.2024")</f>
        <v>https://scholar.google.com/citations?hl=en&amp;view_op=list_hcore&amp;venue=ThxTsNVxvT8J.2024</v>
      </c>
      <c r="I52" s="60" t="str">
        <f>IFERROR(__xludf.DUMMYFUNCTION("""COMPUTED_VALUE"""),"https://dblp.org/db/conf/cec/index.html")</f>
        <v>https://dblp.org/db/conf/cec/index.html</v>
      </c>
    </row>
    <row r="53">
      <c r="A53" s="68" t="str">
        <f>IFERROR(__xludf.DUMMYFUNCTION("""COMPUTED_VALUE"""),"Eventos da Área")</f>
        <v>Eventos da Área</v>
      </c>
      <c r="B53" t="str">
        <f>IFERROR(__xludf.DUMMYFUNCTION("""COMPUTED_VALUE"""),"ICRA")</f>
        <v>ICRA</v>
      </c>
      <c r="C53" t="str">
        <f>IFERROR(__xludf.DUMMYFUNCTION("""COMPUTED_VALUE"""),"IEEE International Conference on Robotics and Automation")</f>
        <v>IEEE International Conference on Robotics and Automation</v>
      </c>
      <c r="D53">
        <f>IFERROR(__xludf.DUMMYFUNCTION("""COMPUTED_VALUE"""),122.0)</f>
        <v>122</v>
      </c>
      <c r="E53" s="147" t="str">
        <f>IFERROR(__xludf.DUMMYFUNCTION("""COMPUTED_VALUE"""),"https://scholar.google.com/citations?hl=en&amp;view_op=list_hcore&amp;venue=Z88T8Kej-9oJ.2024")</f>
        <v>https://scholar.google.com/citations?hl=en&amp;view_op=list_hcore&amp;venue=Z88T8Kej-9oJ.2024</v>
      </c>
      <c r="I53" s="60" t="str">
        <f>IFERROR(__xludf.DUMMYFUNCTION("""COMPUTED_VALUE"""),"https://dblp.org/db/conf/icra/index.html")</f>
        <v>https://dblp.org/db/conf/icra/index.html</v>
      </c>
    </row>
    <row r="54">
      <c r="A54" s="68" t="str">
        <f>IFERROR(__xludf.DUMMYFUNCTION("""COMPUTED_VALUE"""),"Eventos da Área")</f>
        <v>Eventos da Área</v>
      </c>
      <c r="B54" t="str">
        <f>IFERROR(__xludf.DUMMYFUNCTION("""COMPUTED_VALUE"""),"NAACL")</f>
        <v>NAACL</v>
      </c>
      <c r="C54" t="str">
        <f>IFERROR(__xludf.DUMMYFUNCTION("""COMPUTED_VALUE"""),"Conference of the North American Chapter of the ACL")</f>
        <v>Conference of the North American Chapter of the ACL</v>
      </c>
      <c r="D54">
        <f>IFERROR(__xludf.DUMMYFUNCTION("""COMPUTED_VALUE"""),133.0)</f>
        <v>133</v>
      </c>
      <c r="E54" s="147" t="str">
        <f>IFERROR(__xludf.DUMMYFUNCTION("""COMPUTED_VALUE"""),"https://scholar.google.com/citations?hl=pt-BR&amp;view_op=list_hcore&amp;venue=ORSK3meVbY4J.2023")</f>
        <v>https://scholar.google.com/citations?hl=pt-BR&amp;view_op=list_hcore&amp;venue=ORSK3meVbY4J.2023</v>
      </c>
      <c r="I54" s="60" t="str">
        <f>IFERROR(__xludf.DUMMYFUNCTION("""COMPUTED_VALUE"""),"https://dblp.org/db/conf/naacl/index.html")</f>
        <v>https://dblp.org/db/conf/naacl/index.html</v>
      </c>
    </row>
    <row r="55">
      <c r="A55" s="68" t="str">
        <f>IFERROR(__xludf.DUMMYFUNCTION("""COMPUTED_VALUE"""),"Eventos da Área")</f>
        <v>Eventos da Área</v>
      </c>
      <c r="B55" t="str">
        <f>IFERROR(__xludf.DUMMYFUNCTION("""COMPUTED_VALUE"""),"ICLR")</f>
        <v>ICLR</v>
      </c>
      <c r="C55" t="str">
        <f>IFERROR(__xludf.DUMMYFUNCTION("""COMPUTED_VALUE"""),"International Conference on Learning Representations")</f>
        <v>International Conference on Learning Representations</v>
      </c>
      <c r="D55">
        <f>IFERROR(__xludf.DUMMYFUNCTION("""COMPUTED_VALUE"""),304.0)</f>
        <v>304</v>
      </c>
      <c r="E55" s="147" t="str">
        <f>IFERROR(__xludf.DUMMYFUNCTION("""COMPUTED_VALUE"""),"https://scholar.google.com/citations?hl=pt-BR&amp;view_op=list_hcore&amp;venue=0032SoU2xY4J.2024")</f>
        <v>https://scholar.google.com/citations?hl=pt-BR&amp;view_op=list_hcore&amp;venue=0032SoU2xY4J.2024</v>
      </c>
      <c r="I55" s="60" t="str">
        <f>IFERROR(__xludf.DUMMYFUNCTION("""COMPUTED_VALUE"""),"https://dblp.org/db/conf/iclr/index.html")</f>
        <v>https://dblp.org/db/conf/iclr/index.html</v>
      </c>
    </row>
    <row r="56">
      <c r="A56" s="68" t="str">
        <f>IFERROR(__xludf.DUMMYFUNCTION("""COMPUTED_VALUE"""),"Eventos da Área")</f>
        <v>Eventos da Área</v>
      </c>
      <c r="B56" t="str">
        <f>IFERROR(__xludf.DUMMYFUNCTION("""COMPUTED_VALUE"""),"AIED")</f>
        <v>AIED</v>
      </c>
      <c r="C56" t="str">
        <f>IFERROR(__xludf.DUMMYFUNCTION("""COMPUTED_VALUE"""),"Artificial Intelligence in Education Conference")</f>
        <v>Artificial Intelligence in Education Conference</v>
      </c>
      <c r="E56" s="147" t="str">
        <f>IFERROR(__xludf.DUMMYFUNCTION("""COMPUTED_VALUE"""),"https://scholar.google.com/citations?hl=en&amp;view_op=search_venues&amp;vq=Artificial+Intelligence+in+Education+Conference&amp;btnG=")</f>
        <v>https://scholar.google.com/citations?hl=en&amp;view_op=search_venues&amp;vq=Artificial+Intelligence+in+Education+Conference&amp;btnG=</v>
      </c>
    </row>
    <row r="57">
      <c r="A57" s="68" t="str">
        <f>IFERROR(__xludf.DUMMYFUNCTION("""COMPUTED_VALUE"""),"Eventos da Área")</f>
        <v>Eventos da Área</v>
      </c>
      <c r="B57" t="str">
        <f>IFERROR(__xludf.DUMMYFUNCTION("""COMPUTED_VALUE"""),"ITS")</f>
        <v>ITS</v>
      </c>
      <c r="C57" t="str">
        <f>IFERROR(__xludf.DUMMYFUNCTION("""COMPUTED_VALUE"""),"International Conference on Intelligent Tutoring Systems")</f>
        <v>International Conference on Intelligent Tutoring Systems</v>
      </c>
      <c r="E57" s="147" t="str">
        <f>IFERROR(__xludf.DUMMYFUNCTION("""COMPUTED_VALUE"""),"https://scholar.google.com/citations?hl=pt-BR&amp;view_op=search_venues&amp;vq=International+Conference+on+Intelligent+Tutoring+Systems&amp;btnG=")</f>
        <v>https://scholar.google.com/citations?hl=pt-BR&amp;view_op=search_venues&amp;vq=International+Conference+on+Intelligent+Tutoring+Systems&amp;btnG=</v>
      </c>
      <c r="I57" s="60" t="str">
        <f>IFERROR(__xludf.DUMMYFUNCTION("""COMPUTED_VALUE"""),"https://dblp.org/db/conf/its/index.html")</f>
        <v>https://dblp.org/db/conf/its/index.html</v>
      </c>
    </row>
    <row r="58">
      <c r="A58" s="68" t="str">
        <f>IFERROR(__xludf.DUMMYFUNCTION("""COMPUTED_VALUE"""),"Eventos da Área")</f>
        <v>Eventos da Área</v>
      </c>
      <c r="B58" t="str">
        <f>IFERROR(__xludf.DUMMYFUNCTION("""COMPUTED_VALUE"""),"SIGKDD")</f>
        <v>SIGKDD</v>
      </c>
      <c r="C58" t="str">
        <f>IFERROR(__xludf.DUMMYFUNCTION("""COMPUTED_VALUE"""),"ACM International Conference on Knowledge Discovery and Data Mining")</f>
        <v>ACM International Conference on Knowledge Discovery and Data Mining</v>
      </c>
      <c r="E58" s="147" t="str">
        <f>IFERROR(__xludf.DUMMYFUNCTION("""COMPUTED_VALUE"""),"https://scholar.google.com/citations?hl=pt-BR&amp;view_op=search_venues&amp;vq=International+Conference+on+Knowledge+Discovery+and+Data+Mining&amp;btnG=")</f>
        <v>https://scholar.google.com/citations?hl=pt-BR&amp;view_op=search_venues&amp;vq=International+Conference+on+Knowledge+Discovery+and+Data+Mining&amp;btnG=</v>
      </c>
      <c r="I58" s="60" t="str">
        <f>IFERROR(__xludf.DUMMYFUNCTION("""COMPUTED_VALUE"""),"https://dblp.org/db/conf/kdd/index.html")</f>
        <v>https://dblp.org/db/conf/kdd/index.html</v>
      </c>
    </row>
    <row r="59">
      <c r="A59" s="68" t="str">
        <f>IFERROR(__xludf.DUMMYFUNCTION("""COMPUTED_VALUE"""),"Eventos da Área")</f>
        <v>Eventos da Área</v>
      </c>
      <c r="B59" t="str">
        <f>IFERROR(__xludf.DUMMYFUNCTION("""COMPUTED_VALUE"""),"SocialCom")</f>
        <v>SocialCom</v>
      </c>
      <c r="C59" t="str">
        <f>IFERROR(__xludf.DUMMYFUNCTION("""COMPUTED_VALUE"""),"International Conference on Social Computing")</f>
        <v>International Conference on Social Computing</v>
      </c>
      <c r="D59">
        <f>IFERROR(__xludf.DUMMYFUNCTION("""COMPUTED_VALUE"""),8.0)</f>
        <v>8</v>
      </c>
      <c r="E59" s="60" t="str">
        <f>IFERROR(__xludf.DUMMYFUNCTION("""COMPUTED_VALUE"""),"https://scholar.google.com/citations?hl=pt-BR&amp;view_op=list_hcore&amp;venue=nbxth_NIV1wJ.2024")</f>
        <v>https://scholar.google.com/citations?hl=pt-BR&amp;view_op=list_hcore&amp;venue=nbxth_NIV1wJ.2024</v>
      </c>
    </row>
    <row r="60">
      <c r="A60" s="68" t="str">
        <f>IFERROR(__xludf.DUMMYFUNCTION("""COMPUTED_VALUE"""),"Eventos da Área")</f>
        <v>Eventos da Área</v>
      </c>
      <c r="B60" t="str">
        <f>IFERROR(__xludf.DUMMYFUNCTION("""COMPUTED_VALUE"""),"ISIPTA")</f>
        <v>ISIPTA</v>
      </c>
      <c r="C60" t="str">
        <f>IFERROR(__xludf.DUMMYFUNCTION("""COMPUTED_VALUE"""),"International Symposium on Imprecise Probabilities: Theories and Applications")</f>
        <v>International Symposium on Imprecise Probabilities: Theories and Applications</v>
      </c>
      <c r="I60" s="60" t="str">
        <f>IFERROR(__xludf.DUMMYFUNCTION("""COMPUTED_VALUE"""),"https://dblp.org/search?q=International+Symposium+on+Imprecise+Probabilities%3A+Theories+and+Applications")</f>
        <v>https://dblp.org/search?q=International+Symposium+on+Imprecise+Probabilities%3A+Theories+and+Applications</v>
      </c>
    </row>
    <row r="61">
      <c r="A61" s="68" t="str">
        <f>IFERROR(__xludf.DUMMYFUNCTION("""COMPUTED_VALUE"""),"Eventos da Área")</f>
        <v>Eventos da Área</v>
      </c>
      <c r="B61" t="str">
        <f>IFERROR(__xludf.DUMMYFUNCTION("""COMPUTED_VALUE"""),"ONTOBRAS")</f>
        <v>ONTOBRAS</v>
      </c>
      <c r="C61" t="str">
        <f>IFERROR(__xludf.DUMMYFUNCTION("""COMPUTED_VALUE"""),"Ontology Research in Brazil")</f>
        <v>Ontology Research in Brazil</v>
      </c>
    </row>
    <row r="62">
      <c r="A62" s="68" t="str">
        <f>IFERROR(__xludf.DUMMYFUNCTION("""COMPUTED_VALUE"""),"Eventos da Área")</f>
        <v>Eventos da Área</v>
      </c>
      <c r="C62" t="str">
        <f>IFERROR(__xludf.DUMMYFUNCTION("""COMPUTED_VALUE"""),"Workshop on Tractable Probabilistic Modeling")</f>
        <v>Workshop on Tractable Probabilistic Modeling</v>
      </c>
    </row>
    <row r="63">
      <c r="A63" s="68" t="str">
        <f>IFERROR(__xludf.DUMMYFUNCTION("""COMPUTED_VALUE"""),"Eventos da Área")</f>
        <v>Eventos da Área</v>
      </c>
      <c r="B63" t="str">
        <f>IFERROR(__xludf.DUMMYFUNCTION("""COMPUTED_VALUE"""),"CBIC")</f>
        <v>CBIC</v>
      </c>
      <c r="C63" t="str">
        <f>IFERROR(__xludf.DUMMYFUNCTION("""COMPUTED_VALUE"""),"Brazilian Congress on Computational Intelligence")</f>
        <v>Brazilian Congress on Computational Intelligence</v>
      </c>
    </row>
    <row r="64">
      <c r="A64" s="68" t="str">
        <f>IFERROR(__xludf.DUMMYFUNCTION("""COMPUTED_VALUE"""),"Eventos da Área")</f>
        <v>Eventos da Área</v>
      </c>
      <c r="B64" t="str">
        <f>IFERROR(__xludf.DUMMYFUNCTION("""COMPUTED_VALUE"""),"LARS")</f>
        <v>LARS</v>
      </c>
      <c r="C64" t="str">
        <f>IFERROR(__xludf.DUMMYFUNCTION("""COMPUTED_VALUE"""),"Latin American Robotics Symposium")</f>
        <v>Latin American Robotics Symposium</v>
      </c>
      <c r="I64" s="60" t="str">
        <f>IFERROR(__xludf.DUMMYFUNCTION("""COMPUTED_VALUE"""),"https://dblp.org/db/conf/larc/index.html")</f>
        <v>https://dblp.org/db/conf/larc/index.html</v>
      </c>
    </row>
    <row r="65">
      <c r="A65" s="68" t="str">
        <f>IFERROR(__xludf.DUMMYFUNCTION("""COMPUTED_VALUE"""),"Eventos da Área")</f>
        <v>Eventos da Área</v>
      </c>
      <c r="C65" t="str">
        <f>IFERROR(__xludf.DUMMYFUNCTION("""COMPUTED_VALUE"""),"Brazilian Symposium on Robotics")</f>
        <v>Brazilian Symposium on Robotics</v>
      </c>
      <c r="I65" s="60" t="str">
        <f>IFERROR(__xludf.DUMMYFUNCTION("""COMPUTED_VALUE"""),"https://dblp.org/search?q=Brazilian+Symposium+on+Robotics")</f>
        <v>https://dblp.org/search?q=Brazilian+Symposium+on+Robotics</v>
      </c>
    </row>
    <row r="66">
      <c r="A66" s="68" t="str">
        <f>IFERROR(__xludf.DUMMYFUNCTION("""COMPUTED_VALUE"""),"Eventos da Área")</f>
        <v>Eventos da Área</v>
      </c>
      <c r="B66" t="str">
        <f>IFERROR(__xludf.DUMMYFUNCTION("""COMPUTED_VALUE"""),"KDMILE")</f>
        <v>KDMILE</v>
      </c>
      <c r="C66" t="str">
        <f>IFERROR(__xludf.DUMMYFUNCTION("""COMPUTED_VALUE"""),"Symposium on Knowledge Discovery, Mining and Learning")</f>
        <v>Symposium on Knowledge Discovery, Mining and Learning</v>
      </c>
      <c r="D66">
        <f>IFERROR(__xludf.DUMMYFUNCTION("""COMPUTED_VALUE"""),7.0)</f>
        <v>7</v>
      </c>
      <c r="E66" s="60" t="str">
        <f>IFERROR(__xludf.DUMMYFUNCTION("""COMPUTED_VALUE"""),"https://scholar.google.com/citations?hl=pt-BR&amp;view_op=list_hcore&amp;venue=ktOlY8k93VoJ.2024")</f>
        <v>https://scholar.google.com/citations?hl=pt-BR&amp;view_op=list_hcore&amp;venue=ktOlY8k93VoJ.2024</v>
      </c>
      <c r="J66" s="60" t="str">
        <f>IFERROR(__xludf.DUMMYFUNCTION("""COMPUTED_VALUE"""),"https://sol.sbc.org.br/index.php/kdmile/")</f>
        <v>https://sol.sbc.org.br/index.php/kdmile/</v>
      </c>
    </row>
    <row r="67">
      <c r="A67" s="68" t="str">
        <f>IFERROR(__xludf.DUMMYFUNCTION("""COMPUTED_VALUE"""),"Eventos da Área")</f>
        <v>Eventos da Área</v>
      </c>
      <c r="C67" t="str">
        <f>IFERROR(__xludf.DUMMYFUNCTION("""COMPUTED_VALUE"""),"International Conference of the Italian Association for Artificial Intelligence")</f>
        <v>International Conference of the Italian Association for Artificial Intelligence</v>
      </c>
      <c r="I67" s="60" t="str">
        <f>IFERROR(__xludf.DUMMYFUNCTION("""COMPUTED_VALUE"""),"https://dblp.org/db/conf/aiia/index.html")</f>
        <v>https://dblp.org/db/conf/aiia/index.html</v>
      </c>
    </row>
    <row r="68">
      <c r="A68" s="68" t="str">
        <f>IFERROR(__xludf.DUMMYFUNCTION("""COMPUTED_VALUE"""),"Eventos da Área")</f>
        <v>Eventos da Área</v>
      </c>
      <c r="C68" t="str">
        <f>IFERROR(__xludf.DUMMYFUNCTION("""COMPUTED_VALUE"""),"Workshop-School on Agents, Environments, and Applications")</f>
        <v>Workshop-School on Agents, Environments, and Applications</v>
      </c>
    </row>
    <row r="69">
      <c r="A69" s="68" t="str">
        <f>IFERROR(__xludf.DUMMYFUNCTION("""COMPUTED_VALUE"""),"Eventos da Área")</f>
        <v>Eventos da Área</v>
      </c>
      <c r="B69" t="str">
        <f>IFERROR(__xludf.DUMMYFUNCTION("""COMPUTED_VALUE"""),"IDA")</f>
        <v>IDA</v>
      </c>
      <c r="C69" t="str">
        <f>IFERROR(__xludf.DUMMYFUNCTION("""COMPUTED_VALUE"""),"International Symposium on Intelligent Data Analysis")</f>
        <v>International Symposium on Intelligent Data Analysis</v>
      </c>
      <c r="I69" s="60" t="str">
        <f>IFERROR(__xludf.DUMMYFUNCTION("""COMPUTED_VALUE"""),"https://dblp.org/db/conf/ida/index.html")</f>
        <v>https://dblp.org/db/conf/ida/index.html</v>
      </c>
    </row>
    <row r="70">
      <c r="A70" s="68" t="str">
        <f>IFERROR(__xludf.DUMMYFUNCTION("""COMPUTED_VALUE"""),"Eventos da Área")</f>
        <v>Eventos da Área</v>
      </c>
      <c r="B70" t="str">
        <f>IFERROR(__xludf.DUMMYFUNCTION("""COMPUTED_VALUE"""),"SAC")</f>
        <v>SAC</v>
      </c>
      <c r="C70" t="str">
        <f>IFERROR(__xludf.DUMMYFUNCTION("""COMPUTED_VALUE"""),"ACM Symposium on Applied Computing")</f>
        <v>ACM Symposium on Applied Computing</v>
      </c>
      <c r="D70">
        <f>IFERROR(__xludf.DUMMYFUNCTION("""COMPUTED_VALUE"""),36.0)</f>
        <v>36</v>
      </c>
      <c r="E70" s="60" t="str">
        <f>IFERROR(__xludf.DUMMYFUNCTION("""COMPUTED_VALUE"""),"https://scholar.google.com/citations?hl=en&amp;view_op=list_hcore&amp;venue=eLhWa3qzEDsJ.2024")</f>
        <v>https://scholar.google.com/citations?hl=en&amp;view_op=list_hcore&amp;venue=eLhWa3qzEDsJ.2024</v>
      </c>
      <c r="I70" s="60" t="str">
        <f>IFERROR(__xludf.DUMMYFUNCTION("""COMPUTED_VALUE"""),"https://dblp.org/db/conf/sac/index.html")</f>
        <v>https://dblp.org/db/conf/sac/index.html</v>
      </c>
    </row>
    <row r="71">
      <c r="A71" s="68" t="str">
        <f>IFERROR(__xludf.DUMMYFUNCTION("""COMPUTED_VALUE"""),"Eventos da Área")</f>
        <v>Eventos da Área</v>
      </c>
      <c r="B71" t="str">
        <f>IFERROR(__xludf.DUMMYFUNCTION("""COMPUTED_VALUE"""),"ILP")</f>
        <v>ILP</v>
      </c>
      <c r="C71" t="str">
        <f>IFERROR(__xludf.DUMMYFUNCTION("""COMPUTED_VALUE"""),"International Conference on Inductive Logic Programming")</f>
        <v>International Conference on Inductive Logic Programming</v>
      </c>
      <c r="I71" s="60" t="str">
        <f>IFERROR(__xludf.DUMMYFUNCTION("""COMPUTED_VALUE"""),"https://dblp.org/db/conf/ilp/index.html")</f>
        <v>https://dblp.org/db/conf/ilp/index.html</v>
      </c>
    </row>
    <row r="72">
      <c r="A72" s="68" t="str">
        <f>IFERROR(__xludf.DUMMYFUNCTION("""COMPUTED_VALUE"""),"Eventos da Área")</f>
        <v>Eventos da Área</v>
      </c>
      <c r="B72" t="str">
        <f>IFERROR(__xludf.DUMMYFUNCTION("""COMPUTED_VALUE"""),"ACL")</f>
        <v>ACL</v>
      </c>
      <c r="C72" t="str">
        <f>IFERROR(__xludf.DUMMYFUNCTION("""COMPUTED_VALUE"""),"Annual Meeting of the Association for Computational Linguistics")</f>
        <v>Annual Meeting of the Association for Computational Linguistics</v>
      </c>
      <c r="I72" s="60" t="str">
        <f>IFERROR(__xludf.DUMMYFUNCTION("""COMPUTED_VALUE"""),"https://dblp.org/db/conf/acl/index.html")</f>
        <v>https://dblp.org/db/conf/acl/index.html</v>
      </c>
    </row>
    <row r="73">
      <c r="A73" s="68" t="str">
        <f>IFERROR(__xludf.DUMMYFUNCTION("""COMPUTED_VALUE"""),"Eventos da Área")</f>
        <v>Eventos da Área</v>
      </c>
      <c r="B73" t="str">
        <f>IFERROR(__xludf.DUMMYFUNCTION("""COMPUTED_VALUE"""),"SBSI")</f>
        <v>SBSI</v>
      </c>
      <c r="C73" t="str">
        <f>IFERROR(__xludf.DUMMYFUNCTION("""COMPUTED_VALUE"""),"Simpósio Brasileiro de Sistemas de Informação")</f>
        <v>Simpósio Brasileiro de Sistemas de Informação</v>
      </c>
      <c r="D73">
        <f>IFERROR(__xludf.DUMMYFUNCTION("""COMPUTED_VALUE"""),11.0)</f>
        <v>11</v>
      </c>
      <c r="E73" s="60" t="str">
        <f>IFERROR(__xludf.DUMMYFUNCTION("""COMPUTED_VALUE"""),"https://scholar.google.com/citations?hl=pt-BR&amp;view_op=list_hcore&amp;venue=2ENJOr-ESPQJ.2024")</f>
        <v>https://scholar.google.com/citations?hl=pt-BR&amp;view_op=list_hcore&amp;venue=2ENJOr-ESPQJ.2024</v>
      </c>
      <c r="I73" s="60" t="str">
        <f>IFERROR(__xludf.DUMMYFUNCTION("""COMPUTED_VALUE"""),"https://dblp.org/db/conf/sbsi/index.html")</f>
        <v>https://dblp.org/db/conf/sbsi/index.html</v>
      </c>
    </row>
    <row r="74">
      <c r="A74" s="68"/>
    </row>
    <row r="75">
      <c r="A75" s="68"/>
    </row>
    <row r="76">
      <c r="A76" s="68"/>
    </row>
    <row r="77">
      <c r="A77" s="68"/>
    </row>
    <row r="78">
      <c r="A78" s="68"/>
    </row>
    <row r="79">
      <c r="A79" s="68"/>
    </row>
    <row r="80">
      <c r="A80" s="68"/>
    </row>
    <row r="81">
      <c r="A81" s="68"/>
    </row>
    <row r="82">
      <c r="A82" s="68"/>
    </row>
    <row r="83">
      <c r="A83" s="68"/>
    </row>
    <row r="84">
      <c r="A84" s="68"/>
    </row>
    <row r="85">
      <c r="A85" s="68"/>
    </row>
    <row r="86">
      <c r="A86" s="68"/>
    </row>
    <row r="87">
      <c r="A87" s="68"/>
    </row>
    <row r="88">
      <c r="A88" s="68"/>
    </row>
    <row r="89">
      <c r="A89" s="68"/>
    </row>
    <row r="90">
      <c r="A90" s="68"/>
    </row>
    <row r="91">
      <c r="A91" s="68"/>
    </row>
    <row r="92">
      <c r="A92" s="68"/>
    </row>
    <row r="93">
      <c r="A93" s="68"/>
    </row>
    <row r="94">
      <c r="A94" s="68"/>
    </row>
    <row r="95">
      <c r="A95" s="68"/>
    </row>
    <row r="96">
      <c r="A96" s="68"/>
    </row>
    <row r="97">
      <c r="A97" s="68"/>
    </row>
    <row r="98">
      <c r="A98" s="68"/>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E10"/>
    <hyperlink r:id="rId18" ref="I10"/>
    <hyperlink r:id="rId19" ref="J10"/>
    <hyperlink r:id="rId20" ref="E11"/>
    <hyperlink r:id="rId21" ref="J11"/>
    <hyperlink r:id="rId22" ref="E12"/>
    <hyperlink r:id="rId23" ref="I12"/>
    <hyperlink r:id="rId24" ref="E13"/>
    <hyperlink r:id="rId25" ref="I13"/>
    <hyperlink r:id="rId26" ref="E14"/>
    <hyperlink r:id="rId27" ref="E15"/>
    <hyperlink r:id="rId28" ref="E16"/>
    <hyperlink r:id="rId29" ref="E17"/>
    <hyperlink r:id="rId30" ref="I17"/>
    <hyperlink r:id="rId31" ref="E18"/>
    <hyperlink r:id="rId32" ref="I18"/>
    <hyperlink r:id="rId33" ref="E19"/>
    <hyperlink r:id="rId34" ref="I19"/>
    <hyperlink r:id="rId35" ref="E20"/>
    <hyperlink r:id="rId36" ref="I20"/>
    <hyperlink r:id="rId37" ref="E21"/>
    <hyperlink r:id="rId38" ref="I21"/>
    <hyperlink r:id="rId39" ref="E22"/>
    <hyperlink r:id="rId40" ref="I22"/>
    <hyperlink r:id="rId41" ref="E23"/>
    <hyperlink r:id="rId42" ref="I23"/>
    <hyperlink r:id="rId43" ref="E24"/>
    <hyperlink r:id="rId44" ref="I24"/>
    <hyperlink r:id="rId45" ref="E25"/>
    <hyperlink r:id="rId46" ref="I25"/>
    <hyperlink r:id="rId47" ref="E26"/>
    <hyperlink r:id="rId48" ref="E27"/>
    <hyperlink r:id="rId49" ref="I27"/>
    <hyperlink r:id="rId50" ref="E28"/>
    <hyperlink r:id="rId51" ref="I28"/>
    <hyperlink r:id="rId52" ref="E29"/>
    <hyperlink r:id="rId53" ref="I29"/>
    <hyperlink r:id="rId54" ref="E30"/>
    <hyperlink r:id="rId55" ref="I30"/>
    <hyperlink r:id="rId56" ref="E31"/>
    <hyperlink r:id="rId57" ref="I31"/>
    <hyperlink r:id="rId58" ref="E32"/>
    <hyperlink r:id="rId59" ref="E33"/>
    <hyperlink r:id="rId60" ref="I33"/>
    <hyperlink r:id="rId61" ref="E34"/>
    <hyperlink r:id="rId62" ref="I34"/>
    <hyperlink r:id="rId63" ref="E35"/>
    <hyperlink r:id="rId64" ref="I35"/>
    <hyperlink r:id="rId65" ref="E36"/>
    <hyperlink r:id="rId66" ref="E37"/>
    <hyperlink r:id="rId67" ref="I37"/>
    <hyperlink r:id="rId68" ref="E38"/>
    <hyperlink r:id="rId69" ref="I38"/>
    <hyperlink r:id="rId70" ref="E39"/>
    <hyperlink r:id="rId71" ref="I39"/>
    <hyperlink r:id="rId72" ref="E40"/>
    <hyperlink r:id="rId73" ref="I40"/>
    <hyperlink r:id="rId74" ref="E41"/>
    <hyperlink r:id="rId75" ref="I41"/>
    <hyperlink r:id="rId76" ref="E42"/>
    <hyperlink r:id="rId77" ref="I42"/>
    <hyperlink r:id="rId78" ref="E43"/>
    <hyperlink r:id="rId79" ref="I43"/>
    <hyperlink r:id="rId80" ref="E44"/>
    <hyperlink r:id="rId81" ref="E45"/>
    <hyperlink r:id="rId82" ref="I45"/>
    <hyperlink r:id="rId83" ref="E46"/>
    <hyperlink r:id="rId84" ref="I46"/>
    <hyperlink r:id="rId85" ref="E47"/>
    <hyperlink r:id="rId86" ref="I47"/>
    <hyperlink r:id="rId87" ref="E48"/>
    <hyperlink r:id="rId88" ref="I48"/>
    <hyperlink r:id="rId89" ref="E49"/>
    <hyperlink r:id="rId90" ref="I49"/>
    <hyperlink r:id="rId91" ref="E50"/>
    <hyperlink r:id="rId92" ref="I50"/>
    <hyperlink r:id="rId93" ref="E51"/>
    <hyperlink r:id="rId94" ref="I51"/>
    <hyperlink r:id="rId95" ref="E52"/>
    <hyperlink r:id="rId96" ref="I52"/>
    <hyperlink r:id="rId97" ref="E53"/>
    <hyperlink r:id="rId98" ref="I53"/>
    <hyperlink r:id="rId99" ref="E54"/>
    <hyperlink r:id="rId100" ref="I54"/>
    <hyperlink r:id="rId101" ref="E55"/>
    <hyperlink r:id="rId102" ref="I55"/>
    <hyperlink r:id="rId103" ref="E56"/>
    <hyperlink r:id="rId104" ref="E57"/>
    <hyperlink r:id="rId105" ref="I57"/>
    <hyperlink r:id="rId106" ref="E58"/>
    <hyperlink r:id="rId107" ref="I58"/>
    <hyperlink r:id="rId108" ref="E59"/>
    <hyperlink r:id="rId109" ref="I60"/>
    <hyperlink r:id="rId110" ref="I64"/>
    <hyperlink r:id="rId111" ref="I65"/>
    <hyperlink r:id="rId112" ref="E66"/>
    <hyperlink r:id="rId113" ref="J66"/>
    <hyperlink r:id="rId114" ref="I67"/>
    <hyperlink r:id="rId115" ref="I69"/>
    <hyperlink r:id="rId116" ref="E70"/>
    <hyperlink r:id="rId117" ref="I70"/>
    <hyperlink r:id="rId118" ref="I71"/>
    <hyperlink r:id="rId119" ref="I72"/>
    <hyperlink r:id="rId120" ref="E73"/>
    <hyperlink r:id="rId121" ref="I73"/>
  </hyperlinks>
  <drawing r:id="rId122"/>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80.5"/>
    <col customWidth="1" min="7" max="7" width="31.88"/>
    <col customWidth="1" min="8" max="8" width="32.0"/>
    <col customWidth="1" min="9" max="9" width="33.5"/>
    <col customWidth="1" min="10" max="10" width="29.75"/>
  </cols>
  <sheetData>
    <row r="1">
      <c r="A1" s="1" t="str">
        <f>IFERROR(__xludf.DUMMYFUNCTION("importrange(""https://docs.google.com/spreadsheets/d/1lE2ZeR1fziNcz97x5In5V2_NcNwmvJfIvTX-5n2Mukc/edit#gid=367736400"",""CE-IC!A1:J150"")"),"TOP")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58" t="str">
        <f>IFERROR(__xludf.DUMMYFUNCTION("""COMPUTED_VALUE"""),"Top 10")</f>
        <v>Top 10</v>
      </c>
      <c r="B2" t="str">
        <f>IFERROR(__xludf.DUMMYFUNCTION("""COMPUTED_VALUE"""),"NeurIPS")</f>
        <v>NeurIPS</v>
      </c>
      <c r="C2" t="str">
        <f>IFERROR(__xludf.DUMMYFUNCTION("""COMPUTED_VALUE"""),"Neural Information Processing Systems")</f>
        <v>Neural Information Processing Systems</v>
      </c>
      <c r="D2">
        <f>IFERROR(__xludf.DUMMYFUNCTION("""COMPUTED_VALUE"""),337.0)</f>
        <v>337</v>
      </c>
      <c r="E2" s="147" t="str">
        <f>IFERROR(__xludf.DUMMYFUNCTION("""COMPUTED_VALUE"""),"https://scholar.google.com/citations?hl=en&amp;view_op=search_venues&amp;vq=Neural+Information+Processing+Systems&amp;btnG=")</f>
        <v>https://scholar.google.com/citations?hl=en&amp;view_op=search_venues&amp;vq=Neural+Information+Processing+Systems&amp;btnG=</v>
      </c>
      <c r="F2" t="str">
        <f>IFERROR(__xludf.DUMMYFUNCTION("""COMPUTED_VALUE"""),"NIPS")</f>
        <v>NIPS</v>
      </c>
      <c r="I2" s="60" t="str">
        <f>IFERROR(__xludf.DUMMYFUNCTION("""COMPUTED_VALUE"""),"https://dblp.org/db/conf/nips/index.html")</f>
        <v>https://dblp.org/db/conf/nips/index.html</v>
      </c>
    </row>
    <row r="3">
      <c r="A3" s="58" t="str">
        <f>IFERROR(__xludf.DUMMYFUNCTION("""COMPUTED_VALUE"""),"Top 10")</f>
        <v>Top 10</v>
      </c>
      <c r="B3" t="str">
        <f>IFERROR(__xludf.DUMMYFUNCTION("""COMPUTED_VALUE"""),"ICML")</f>
        <v>ICML</v>
      </c>
      <c r="C3" t="str">
        <f>IFERROR(__xludf.DUMMYFUNCTION("""COMPUTED_VALUE"""),"International Conference on Machine Learning (ICML)")</f>
        <v>International Conference on Machine Learning (ICML)</v>
      </c>
      <c r="D3">
        <f>IFERROR(__xludf.DUMMYFUNCTION("""COMPUTED_VALUE"""),268.0)</f>
        <v>268</v>
      </c>
      <c r="E3" s="147" t="str">
        <f>IFERROR(__xludf.DUMMYFUNCTION("""COMPUTED_VALUE"""),"https://scholar.google.com.br/citations?hl=pt-BR&amp;vq=eng_artificialintelligence&amp;view_op=list_hcore&amp;venue=wL2oxc9mT4YJ.2024")</f>
        <v>https://scholar.google.com.br/citations?hl=pt-BR&amp;vq=eng_artificialintelligence&amp;view_op=list_hcore&amp;venue=wL2oxc9mT4YJ.2024</v>
      </c>
      <c r="I3" s="60" t="str">
        <f>IFERROR(__xludf.DUMMYFUNCTION("""COMPUTED_VALUE"""),"https://dblp.org/db/conf/icml/index.html")</f>
        <v>https://dblp.org/db/conf/icml/index.html</v>
      </c>
    </row>
    <row r="4">
      <c r="A4" s="58" t="str">
        <f>IFERROR(__xludf.DUMMYFUNCTION("""COMPUTED_VALUE"""),"Top 10")</f>
        <v>Top 10</v>
      </c>
      <c r="B4" t="str">
        <f>IFERROR(__xludf.DUMMYFUNCTION("""COMPUTED_VALUE"""),"CEC")</f>
        <v>CEC</v>
      </c>
      <c r="C4" t="str">
        <f>IFERROR(__xludf.DUMMYFUNCTION("""COMPUTED_VALUE"""),"IEEE Congress on Evolutionary Computation")</f>
        <v>IEEE Congress on Evolutionary Computation</v>
      </c>
      <c r="D4">
        <f>IFERROR(__xludf.DUMMYFUNCTION("""COMPUTED_VALUE"""),89.0)</f>
        <v>89</v>
      </c>
      <c r="E4" s="147" t="str">
        <f>IFERROR(__xludf.DUMMYFUNCTION("""COMPUTED_VALUE"""),"https://scholar.google.com/citations?hl=en&amp;view_op=list_hcore&amp;venue=ThxTsNVxvT8J.2024")</f>
        <v>https://scholar.google.com/citations?hl=en&amp;view_op=list_hcore&amp;venue=ThxTsNVxvT8J.2024</v>
      </c>
      <c r="I4" s="60" t="str">
        <f>IFERROR(__xludf.DUMMYFUNCTION("""COMPUTED_VALUE"""),"https://dblp.org/db/conf/cec/index.html")</f>
        <v>https://dblp.org/db/conf/cec/index.html</v>
      </c>
    </row>
    <row r="5">
      <c r="A5" s="58" t="str">
        <f>IFERROR(__xludf.DUMMYFUNCTION("""COMPUTED_VALUE"""),"Top 10")</f>
        <v>Top 10</v>
      </c>
      <c r="B5" t="str">
        <f>IFERROR(__xludf.DUMMYFUNCTION("""COMPUTED_VALUE"""),"IJCNN")</f>
        <v>IJCNN</v>
      </c>
      <c r="C5" t="str">
        <f>IFERROR(__xludf.DUMMYFUNCTION("""COMPUTED_VALUE"""),"International Joint Conference on Neural Networks")</f>
        <v>International Joint Conference on Neural Networks</v>
      </c>
      <c r="D5">
        <f>IFERROR(__xludf.DUMMYFUNCTION("""COMPUTED_VALUE"""),64.0)</f>
        <v>64</v>
      </c>
      <c r="E5" s="147" t="str">
        <f>IFERROR(__xludf.DUMMYFUNCTION("""COMPUTED_VALUE"""),"https://scholar.google.com.br/citations?hl=pt-BR&amp;view_op=list_hcore&amp;venue=-t1SY74YlYcJ.2024")</f>
        <v>https://scholar.google.com.br/citations?hl=pt-BR&amp;view_op=list_hcore&amp;venue=-t1SY74YlYcJ.2024</v>
      </c>
      <c r="I5" s="60" t="str">
        <f>IFERROR(__xludf.DUMMYFUNCTION("""COMPUTED_VALUE"""),"https://dblp.org/db/conf/ijcnn/index.html")</f>
        <v>https://dblp.org/db/conf/ijcnn/index.html</v>
      </c>
    </row>
    <row r="6">
      <c r="A6" s="58" t="str">
        <f>IFERROR(__xludf.DUMMYFUNCTION("""COMPUTED_VALUE"""),"Top 10")</f>
        <v>Top 10</v>
      </c>
      <c r="B6" t="str">
        <f>IFERROR(__xludf.DUMMYFUNCTION("""COMPUTED_VALUE"""),"ICDM")</f>
        <v>ICDM</v>
      </c>
      <c r="C6" t="str">
        <f>IFERROR(__xludf.DUMMYFUNCTION("""COMPUTED_VALUE"""),"IEEE International Conference on Data Mining (ICDM)")</f>
        <v>IEEE International Conference on Data Mining (ICDM)</v>
      </c>
      <c r="D6">
        <f>IFERROR(__xludf.DUMMYFUNCTION("""COMPUTED_VALUE"""),50.0)</f>
        <v>50</v>
      </c>
      <c r="E6" s="147" t="str">
        <f>IFERROR(__xludf.DUMMYFUNCTION("""COMPUTED_VALUE"""),"https://scholar.google.com.br/citations?hl=pt-BR&amp;vq=eng_datamininganalysis&amp;view_op=list_hcore&amp;venue=A0l3VPFKwDYJ.2024")</f>
        <v>https://scholar.google.com.br/citations?hl=pt-BR&amp;vq=eng_datamininganalysis&amp;view_op=list_hcore&amp;venue=A0l3VPFKwDYJ.2024</v>
      </c>
      <c r="I6" s="60" t="str">
        <f>IFERROR(__xludf.DUMMYFUNCTION("""COMPUTED_VALUE"""),"https://dblp.org/db/conf/icdm/index.html")</f>
        <v>https://dblp.org/db/conf/icdm/index.html</v>
      </c>
    </row>
    <row r="7">
      <c r="A7" s="58" t="str">
        <f>IFERROR(__xludf.DUMMYFUNCTION("""COMPUTED_VALUE"""),"Top 10")</f>
        <v>Top 10</v>
      </c>
      <c r="B7" t="str">
        <f>IFERROR(__xludf.DUMMYFUNCTION("""COMPUTED_VALUE"""),"GECCO")</f>
        <v>GECCO</v>
      </c>
      <c r="C7" t="str">
        <f>IFERROR(__xludf.DUMMYFUNCTION("""COMPUTED_VALUE"""),"Conference on Genetic and Evolutionary Computation")</f>
        <v>Conference on Genetic and Evolutionary Computation</v>
      </c>
      <c r="D7">
        <f>IFERROR(__xludf.DUMMYFUNCTION("""COMPUTED_VALUE"""),47.0)</f>
        <v>47</v>
      </c>
      <c r="E7" s="147" t="str">
        <f>IFERROR(__xludf.DUMMYFUNCTION("""COMPUTED_VALUE"""),"https://scholar.google.com.br/citations?hl=pt-BR&amp;view_op=list_hcore&amp;venue=pQVER_ii7sMJ.2024")</f>
        <v>https://scholar.google.com.br/citations?hl=pt-BR&amp;view_op=list_hcore&amp;venue=pQVER_ii7sMJ.2024</v>
      </c>
      <c r="I7" s="60" t="str">
        <f>IFERROR(__xludf.DUMMYFUNCTION("""COMPUTED_VALUE"""),"https://dblp.org/db/conf/gecco/index.html")</f>
        <v>https://dblp.org/db/conf/gecco/index.html</v>
      </c>
    </row>
    <row r="8">
      <c r="A8" s="58" t="str">
        <f>IFERROR(__xludf.DUMMYFUNCTION("""COMPUTED_VALUE"""),"Top 10")</f>
        <v>Top 10</v>
      </c>
      <c r="B8" t="str">
        <f>IFERROR(__xludf.DUMMYFUNCTION("""COMPUTED_VALUE"""),"ECML")</f>
        <v>ECML</v>
      </c>
      <c r="C8" t="str">
        <f>IFERROR(__xludf.DUMMYFUNCTION("""COMPUTED_VALUE"""),"European Conference on Machine Learning and Knowledge Discovery in Databases")</f>
        <v>European Conference on Machine Learning and Knowledge Discovery in Databases</v>
      </c>
      <c r="D8">
        <f>IFERROR(__xludf.DUMMYFUNCTION("""COMPUTED_VALUE"""),45.0)</f>
        <v>45</v>
      </c>
      <c r="E8" s="147" t="str">
        <f>IFERROR(__xludf.DUMMYFUNCTION("""COMPUTED_VALUE"""),"https://scholar.google.com.br/citations?hl=pt-BR&amp;vq=eng_datamininganalysis&amp;view_op=list_hcore&amp;venue=B_DfwWWmEnMJ.2024")</f>
        <v>https://scholar.google.com.br/citations?hl=pt-BR&amp;vq=eng_datamininganalysis&amp;view_op=list_hcore&amp;venue=B_DfwWWmEnMJ.2024</v>
      </c>
      <c r="I8" s="60" t="str">
        <f>IFERROR(__xludf.DUMMYFUNCTION("""COMPUTED_VALUE"""),"https://dblp.org/db/conf/ecml/index.html")</f>
        <v>https://dblp.org/db/conf/ecml/index.html</v>
      </c>
    </row>
    <row r="9">
      <c r="A9" s="58" t="str">
        <f>IFERROR(__xludf.DUMMYFUNCTION("""COMPUTED_VALUE"""),"Top 10")</f>
        <v>Top 10</v>
      </c>
      <c r="B9" t="str">
        <f>IFERROR(__xludf.DUMMYFUNCTION("""COMPUTED_VALUE"""),"FUZZ")</f>
        <v>FUZZ</v>
      </c>
      <c r="C9" t="str">
        <f>IFERROR(__xludf.DUMMYFUNCTION("""COMPUTED_VALUE"""),"IEEE International Conference on Fuzzy Systems (FUZZ)")</f>
        <v>IEEE International Conference on Fuzzy Systems (FUZZ)</v>
      </c>
      <c r="D9">
        <f>IFERROR(__xludf.DUMMYFUNCTION("""COMPUTED_VALUE"""),25.0)</f>
        <v>25</v>
      </c>
      <c r="E9" s="147" t="str">
        <f>IFERROR(__xludf.DUMMYFUNCTION("""COMPUTED_VALUE"""),"https://scholar.google.com.br/citations?hl=pt-BR&amp;view_op=list_hcore&amp;venue=sateOX2Ni50J.2024")</f>
        <v>https://scholar.google.com.br/citations?hl=pt-BR&amp;view_op=list_hcore&amp;venue=sateOX2Ni50J.2024</v>
      </c>
      <c r="I9" s="60" t="str">
        <f>IFERROR(__xludf.DUMMYFUNCTION("""COMPUTED_VALUE"""),"https://dblp.org/db/conf/fuzzIEEE/index.html")</f>
        <v>https://dblp.org/db/conf/fuzzIEEE/index.html</v>
      </c>
    </row>
    <row r="10">
      <c r="A10" s="58" t="str">
        <f>IFERROR(__xludf.DUMMYFUNCTION("""COMPUTED_VALUE"""),"Top 10")</f>
        <v>Top 10</v>
      </c>
      <c r="B10" t="str">
        <f>IFERROR(__xludf.DUMMYFUNCTION("""COMPUTED_VALUE"""),"BRACIS")</f>
        <v>BRACIS</v>
      </c>
      <c r="C10" t="str">
        <f>IFERROR(__xludf.DUMMYFUNCTION("""COMPUTED_VALUE"""),"Brazilian Conference on Intelligent Systems")</f>
        <v>Brazilian Conference on Intelligent Systems</v>
      </c>
      <c r="D10">
        <f>IFERROR(__xludf.DUMMYFUNCTION("""COMPUTED_VALUE"""),16.0)</f>
        <v>16</v>
      </c>
      <c r="E10" s="147" t="str">
        <f>IFERROR(__xludf.DUMMYFUNCTION("""COMPUTED_VALUE"""),"https://scholar.google.com/citations?hl=en&amp;view_op=list_hcore&amp;venue=qXwIadFVNCsJ.2024")</f>
        <v>https://scholar.google.com/citations?hl=en&amp;view_op=list_hcore&amp;venue=qXwIadFVNCsJ.2024</v>
      </c>
      <c r="I10" s="60" t="str">
        <f>IFERROR(__xludf.DUMMYFUNCTION("""COMPUTED_VALUE"""),"https://dblp.org/db/conf/bracis/index.html")</f>
        <v>https://dblp.org/db/conf/bracis/index.html</v>
      </c>
    </row>
    <row r="11">
      <c r="A11" s="58" t="str">
        <f>IFERROR(__xludf.DUMMYFUNCTION("""COMPUTED_VALUE"""),"Top 10")</f>
        <v>Top 10</v>
      </c>
      <c r="B11" t="str">
        <f>IFERROR(__xludf.DUMMYFUNCTION("""COMPUTED_VALUE"""),"ENIAC")</f>
        <v>ENIAC</v>
      </c>
      <c r="C11" t="str">
        <f>IFERROR(__xludf.DUMMYFUNCTION("""COMPUTED_VALUE"""),"Encontro Nacional de Inteligência Artificial e Computacional")</f>
        <v>Encontro Nacional de Inteligência Artificial e Computacional</v>
      </c>
      <c r="D11">
        <f>IFERROR(__xludf.DUMMYFUNCTION("""COMPUTED_VALUE"""),9.0)</f>
        <v>9</v>
      </c>
      <c r="E11" s="147" t="str">
        <f>IFERROR(__xludf.DUMMYFUNCTION("""COMPUTED_VALUE"""),"https://scholar.google.com.br/citations?hl=pt-BR&amp;view_op=list_hcore&amp;venue=DoEKONL9f1YJ.2024")</f>
        <v>https://scholar.google.com.br/citations?hl=pt-BR&amp;view_op=list_hcore&amp;venue=DoEKONL9f1YJ.2024</v>
      </c>
      <c r="J11" s="60" t="str">
        <f>IFERROR(__xludf.DUMMYFUNCTION("""COMPUTED_VALUE"""),"https://sol.sbc.org.br/index.php/eniac/issue/archive")</f>
        <v>https://sol.sbc.org.br/index.php/eniac/issue/archive</v>
      </c>
    </row>
    <row r="12">
      <c r="A12" s="65" t="str">
        <f>IFERROR(__xludf.DUMMYFUNCTION("""COMPUTED_VALUE"""),"Top 20")</f>
        <v>Top 20</v>
      </c>
      <c r="B12" t="str">
        <f>IFERROR(__xludf.DUMMYFUNCTION("""COMPUTED_VALUE"""),"AAAI")</f>
        <v>AAAI</v>
      </c>
      <c r="C12" t="str">
        <f>IFERROR(__xludf.DUMMYFUNCTION("""COMPUTED_VALUE"""),"AAAI Conference on Artificial Intelligence")</f>
        <v>AAAI Conference on Artificial Intelligence</v>
      </c>
      <c r="D12">
        <f>IFERROR(__xludf.DUMMYFUNCTION("""COMPUTED_VALUE"""),220.0)</f>
        <v>220</v>
      </c>
      <c r="E12" s="147" t="str">
        <f>IFERROR(__xludf.DUMMYFUNCTION("""COMPUTED_VALUE"""),"https://scholar.google.com.br/citations?hl=pt-BR&amp;vq=eng_artificialintelligence&amp;view_op=list_hcore&amp;venue=PV9sQN5dnPsJ.2024")</f>
        <v>https://scholar.google.com.br/citations?hl=pt-BR&amp;vq=eng_artificialintelligence&amp;view_op=list_hcore&amp;venue=PV9sQN5dnPsJ.2024</v>
      </c>
      <c r="I12" s="60" t="str">
        <f>IFERROR(__xludf.DUMMYFUNCTION("""COMPUTED_VALUE"""),"https://dblp.org/db/conf/aaai/index.html")</f>
        <v>https://dblp.org/db/conf/aaai/index.html</v>
      </c>
    </row>
    <row r="13">
      <c r="A13" s="65" t="str">
        <f>IFERROR(__xludf.DUMMYFUNCTION("""COMPUTED_VALUE"""),"Top 20")</f>
        <v>Top 20</v>
      </c>
      <c r="B13" t="str">
        <f>IFERROR(__xludf.DUMMYFUNCTION("""COMPUTED_VALUE"""),"IJCAI")</f>
        <v>IJCAI</v>
      </c>
      <c r="C13" t="str">
        <f>IFERROR(__xludf.DUMMYFUNCTION("""COMPUTED_VALUE"""),"International Joint Conference on Artificial Intelligence (IJCAI)")</f>
        <v>International Joint Conference on Artificial Intelligence (IJCAI)</v>
      </c>
      <c r="D13">
        <f>IFERROR(__xludf.DUMMYFUNCTION("""COMPUTED_VALUE"""),136.0)</f>
        <v>136</v>
      </c>
      <c r="E13" s="147" t="str">
        <f>IFERROR(__xludf.DUMMYFUNCTION("""COMPUTED_VALUE"""),"https://scholar.google.com.br/citations?view_op=top_venues&amp;hl=pt-BR&amp;vq=eng_artificialintelligence")</f>
        <v>https://scholar.google.com.br/citations?view_op=top_venues&amp;hl=pt-BR&amp;vq=eng_artificialintelligence</v>
      </c>
      <c r="I13" s="60" t="str">
        <f>IFERROR(__xludf.DUMMYFUNCTION("""COMPUTED_VALUE"""),"https://dblp.org/db/conf/ijcai/index.html")</f>
        <v>https://dblp.org/db/conf/ijcai/index.html</v>
      </c>
    </row>
    <row r="14">
      <c r="A14" s="65" t="str">
        <f>IFERROR(__xludf.DUMMYFUNCTION("""COMPUTED_VALUE"""),"Top 20")</f>
        <v>Top 20</v>
      </c>
      <c r="B14" t="str">
        <f>IFERROR(__xludf.DUMMYFUNCTION("""COMPUTED_VALUE"""),"KDD")</f>
        <v>KDD</v>
      </c>
      <c r="C14" t="str">
        <f>IFERROR(__xludf.DUMMYFUNCTION("""COMPUTED_VALUE"""),"ACM SIGKDD International Conference on Knowledge Discovery and Data Mining")</f>
        <v>ACM SIGKDD International Conference on Knowledge Discovery and Data Mining</v>
      </c>
      <c r="D14">
        <f>IFERROR(__xludf.DUMMYFUNCTION("""COMPUTED_VALUE"""),124.0)</f>
        <v>124</v>
      </c>
      <c r="E14" s="147" t="str">
        <f>IFERROR(__xludf.DUMMYFUNCTION("""COMPUTED_VALUE"""),"https://scholar.google.com.br/citations?hl=pt-BR&amp;vq=eng_datamininganalysis&amp;view_op=list_hcore&amp;venue=DxPOk84pRIIJ.2024")</f>
        <v>https://scholar.google.com.br/citations?hl=pt-BR&amp;vq=eng_datamininganalysis&amp;view_op=list_hcore&amp;venue=DxPOk84pRIIJ.2024</v>
      </c>
      <c r="I14" s="60" t="str">
        <f>IFERROR(__xludf.DUMMYFUNCTION("""COMPUTED_VALUE"""),"https://dblp.org/db/conf/kdd/index.html")</f>
        <v>https://dblp.org/db/conf/kdd/index.html</v>
      </c>
    </row>
    <row r="15">
      <c r="A15" s="65" t="str">
        <f>IFERROR(__xludf.DUMMYFUNCTION("""COMPUTED_VALUE"""),"Top 20")</f>
        <v>Top 20</v>
      </c>
      <c r="B15" t="str">
        <f>IFERROR(__xludf.DUMMYFUNCTION("""COMPUTED_VALUE"""),"AISTATS")</f>
        <v>AISTATS</v>
      </c>
      <c r="C15" t="str">
        <f>IFERROR(__xludf.DUMMYFUNCTION("""COMPUTED_VALUE"""),"International Conference on Artificial Intelligence and Statistics")</f>
        <v>International Conference on Artificial Intelligence and Statistics</v>
      </c>
      <c r="D15">
        <f>IFERROR(__xludf.DUMMYFUNCTION("""COMPUTED_VALUE"""),100.0)</f>
        <v>100</v>
      </c>
      <c r="E15" s="147" t="str">
        <f>IFERROR(__xludf.DUMMYFUNCTION("""COMPUTED_VALUE"""),"https://scholar.google.com.br/citations?hl=pt-BR&amp;vq=eng_datamininganalysis&amp;view_op=list_hcore&amp;venue=PhcE9OLs0MUJ.2024")</f>
        <v>https://scholar.google.com.br/citations?hl=pt-BR&amp;vq=eng_datamininganalysis&amp;view_op=list_hcore&amp;venue=PhcE9OLs0MUJ.2024</v>
      </c>
      <c r="I15" s="60" t="str">
        <f>IFERROR(__xludf.DUMMYFUNCTION("""COMPUTED_VALUE"""),"https://dblp.org/db/conf/aistats/index.html")</f>
        <v>https://dblp.org/db/conf/aistats/index.html</v>
      </c>
    </row>
    <row r="16">
      <c r="A16" s="65" t="str">
        <f>IFERROR(__xludf.DUMMYFUNCTION("""COMPUTED_VALUE"""),"Top 20")</f>
        <v>Top 20</v>
      </c>
      <c r="B16" t="str">
        <f>IFERROR(__xludf.DUMMYFUNCTION("""COMPUTED_VALUE"""),"UAI")</f>
        <v>UAI</v>
      </c>
      <c r="C16" t="str">
        <f>IFERROR(__xludf.DUMMYFUNCTION("""COMPUTED_VALUE"""),"Conference on Uncertainty in Artificial Intelligence")</f>
        <v>Conference on Uncertainty in Artificial Intelligence</v>
      </c>
      <c r="D16">
        <f>IFERROR(__xludf.DUMMYFUNCTION("""COMPUTED_VALUE"""),56.0)</f>
        <v>56</v>
      </c>
      <c r="E16" s="147" t="str">
        <f>IFERROR(__xludf.DUMMYFUNCTION("""COMPUTED_VALUE"""),"https://scholar.google.com.br/citations?hl=pt-BR&amp;view_op=list_hcore&amp;venue=xLfkTVI4LkMJ.2024")</f>
        <v>https://scholar.google.com.br/citations?hl=pt-BR&amp;view_op=list_hcore&amp;venue=xLfkTVI4LkMJ.2024</v>
      </c>
      <c r="I16" s="60" t="str">
        <f>IFERROR(__xludf.DUMMYFUNCTION("""COMPUTED_VALUE"""),"https://dblp.org/db/conf/atal/index.html")</f>
        <v>https://dblp.org/db/conf/atal/index.html</v>
      </c>
    </row>
    <row r="17">
      <c r="A17" s="65" t="str">
        <f>IFERROR(__xludf.DUMMYFUNCTION("""COMPUTED_VALUE"""),"Top 20")</f>
        <v>Top 20</v>
      </c>
      <c r="B17" t="str">
        <f>IFERROR(__xludf.DUMMYFUNCTION("""COMPUTED_VALUE"""),"ICMLA")</f>
        <v>ICMLA</v>
      </c>
      <c r="C17" t="str">
        <f>IFERROR(__xludf.DUMMYFUNCTION("""COMPUTED_VALUE"""),"International Conference on Machine Learning and Applications")</f>
        <v>International Conference on Machine Learning and Applications</v>
      </c>
      <c r="D17">
        <f>IFERROR(__xludf.DUMMYFUNCTION("""COMPUTED_VALUE"""),35.0)</f>
        <v>35</v>
      </c>
      <c r="E17" s="147" t="str">
        <f>IFERROR(__xludf.DUMMYFUNCTION("""COMPUTED_VALUE"""),"https://scholar.google.com.br/citations?hl=pt-BR&amp;view_op=list_hcore&amp;venue=jv1gvzv4-LgJ.2024")</f>
        <v>https://scholar.google.com.br/citations?hl=pt-BR&amp;view_op=list_hcore&amp;venue=jv1gvzv4-LgJ.2024</v>
      </c>
      <c r="I17" s="60" t="str">
        <f>IFERROR(__xludf.DUMMYFUNCTION("""COMPUTED_VALUE"""),"https://dblp.org/db/conf/icmla/index.html")</f>
        <v>https://dblp.org/db/conf/icmla/index.html</v>
      </c>
    </row>
    <row r="18">
      <c r="A18" s="65" t="str">
        <f>IFERROR(__xludf.DUMMYFUNCTION("""COMPUTED_VALUE"""),"Top 20")</f>
        <v>Top 20</v>
      </c>
      <c r="B18" t="str">
        <f>IFERROR(__xludf.DUMMYFUNCTION("""COMPUTED_VALUE"""),"SDM")</f>
        <v>SDM</v>
      </c>
      <c r="C18" t="str">
        <f>IFERROR(__xludf.DUMMYFUNCTION("""COMPUTED_VALUE"""),"SIAM International Conference on Data Mining")</f>
        <v>SIAM International Conference on Data Mining</v>
      </c>
      <c r="D18">
        <f>IFERROR(__xludf.DUMMYFUNCTION("""COMPUTED_VALUE"""),36.0)</f>
        <v>36</v>
      </c>
      <c r="E18" s="147" t="str">
        <f>IFERROR(__xludf.DUMMYFUNCTION("""COMPUTED_VALUE"""),"https://scholar.google.com.br/citations?hl=pt-BR&amp;vq=eng_datamininganalysis&amp;view_op=list_hcore&amp;venue=eM05sD1nEv4J.2024")</f>
        <v>https://scholar.google.com.br/citations?hl=pt-BR&amp;vq=eng_datamininganalysis&amp;view_op=list_hcore&amp;venue=eM05sD1nEv4J.2024</v>
      </c>
      <c r="I18" s="60" t="str">
        <f>IFERROR(__xludf.DUMMYFUNCTION("""COMPUTED_VALUE"""),"https://dblp.org/db/conf/sdm/index.html")</f>
        <v>https://dblp.org/db/conf/sdm/index.html</v>
      </c>
    </row>
    <row r="19">
      <c r="A19" s="65" t="str">
        <f>IFERROR(__xludf.DUMMYFUNCTION("""COMPUTED_VALUE"""),"Top 20")</f>
        <v>Top 20</v>
      </c>
      <c r="B19" t="str">
        <f>IFERROR(__xludf.DUMMYFUNCTION("""COMPUTED_VALUE"""),"PAKDD")</f>
        <v>PAKDD</v>
      </c>
      <c r="C19" t="str">
        <f>IFERROR(__xludf.DUMMYFUNCTION("""COMPUTED_VALUE"""),"Pacific-Asia Conference on Knowledge Discovery and Data Mining (PAKDD)")</f>
        <v>Pacific-Asia Conference on Knowledge Discovery and Data Mining (PAKDD)</v>
      </c>
      <c r="D19">
        <f>IFERROR(__xludf.DUMMYFUNCTION("""COMPUTED_VALUE"""),30.0)</f>
        <v>30</v>
      </c>
      <c r="E19" s="147" t="str">
        <f>IFERROR(__xludf.DUMMYFUNCTION("""COMPUTED_VALUE"""),"https://scholar.google.com.br/citations?hl=pt-BR&amp;vq=eng_datamininganalysis&amp;view_op=list_hcore&amp;venue=I9UJ598p80sJ.2024")</f>
        <v>https://scholar.google.com.br/citations?hl=pt-BR&amp;vq=eng_datamininganalysis&amp;view_op=list_hcore&amp;venue=I9UJ598p80sJ.2024</v>
      </c>
      <c r="I19" s="60" t="str">
        <f>IFERROR(__xludf.DUMMYFUNCTION("""COMPUTED_VALUE"""),"https://dblp.org/db/conf/pakdd/index.html")</f>
        <v>https://dblp.org/db/conf/pakdd/index.html</v>
      </c>
    </row>
    <row r="20">
      <c r="A20" s="65" t="str">
        <f>IFERROR(__xludf.DUMMYFUNCTION("""COMPUTED_VALUE"""),"Top 20")</f>
        <v>Top 20</v>
      </c>
      <c r="B20" t="str">
        <f>IFERROR(__xludf.DUMMYFUNCTION("""COMPUTED_VALUE"""),"ICANN")</f>
        <v>ICANN</v>
      </c>
      <c r="C20" t="str">
        <f>IFERROR(__xludf.DUMMYFUNCTION("""COMPUTED_VALUE"""),"International Conference on Artificial Neural Networks")</f>
        <v>International Conference on Artificial Neural Networks</v>
      </c>
      <c r="D20">
        <f>IFERROR(__xludf.DUMMYFUNCTION("""COMPUTED_VALUE"""),32.0)</f>
        <v>32</v>
      </c>
      <c r="E20" s="147" t="str">
        <f>IFERROR(__xludf.DUMMYFUNCTION("""COMPUTED_VALUE"""),"https://scholar.google.com.br/citations?hl=pt-BR&amp;view_op=list_hcore&amp;venue=Tt40B1pBgEEJ.2024")</f>
        <v>https://scholar.google.com.br/citations?hl=pt-BR&amp;view_op=list_hcore&amp;venue=Tt40B1pBgEEJ.2024</v>
      </c>
      <c r="I20" s="60" t="str">
        <f>IFERROR(__xludf.DUMMYFUNCTION("""COMPUTED_VALUE"""),"https://dblp.org/db/conf/icann/index.html")</f>
        <v>https://dblp.org/db/conf/icann/index.html</v>
      </c>
    </row>
    <row r="21">
      <c r="A21" s="65" t="str">
        <f>IFERROR(__xludf.DUMMYFUNCTION("""COMPUTED_VALUE"""),"Top 20")</f>
        <v>Top 20</v>
      </c>
      <c r="B21" t="str">
        <f>IFERROR(__xludf.DUMMYFUNCTION("""COMPUTED_VALUE"""),"ICTAI")</f>
        <v>ICTAI</v>
      </c>
      <c r="C21" t="str">
        <f>IFERROR(__xludf.DUMMYFUNCTION("""COMPUTED_VALUE"""),"IEEE International Conference on Artificial Intelligence Tools")</f>
        <v>IEEE International Conference on Artificial Intelligence Tools</v>
      </c>
      <c r="D21">
        <f>IFERROR(__xludf.DUMMYFUNCTION("""COMPUTED_VALUE"""),28.0)</f>
        <v>28</v>
      </c>
      <c r="E21" s="147" t="str">
        <f>IFERROR(__xludf.DUMMYFUNCTION("""COMPUTED_VALUE"""),"https://scholar.google.com/citations?hl=pt-BR&amp;view_op=list_hcore&amp;venue=7SUUxQF2w2cJ.2024")</f>
        <v>https://scholar.google.com/citations?hl=pt-BR&amp;view_op=list_hcore&amp;venue=7SUUxQF2w2cJ.2024</v>
      </c>
      <c r="I21" s="60" t="str">
        <f>IFERROR(__xludf.DUMMYFUNCTION("""COMPUTED_VALUE"""),"https://dblp.org/db/conf/ictai/index.html")</f>
        <v>https://dblp.org/db/conf/ictai/index.html</v>
      </c>
    </row>
    <row r="22">
      <c r="A22" s="68" t="str">
        <f>IFERROR(__xludf.DUMMYFUNCTION("""COMPUTED_VALUE"""),"Eventos da Área")</f>
        <v>Eventos da Área</v>
      </c>
      <c r="E22" s="147"/>
    </row>
    <row r="23">
      <c r="A23" s="68" t="str">
        <f>IFERROR(__xludf.DUMMYFUNCTION("""COMPUTED_VALUE"""),"Eventos da Área")</f>
        <v>Eventos da Área</v>
      </c>
      <c r="B23" t="str">
        <f>IFERROR(__xludf.DUMMYFUNCTION("""COMPUTED_VALUE"""),"ICLR")</f>
        <v>ICLR</v>
      </c>
      <c r="C23" t="str">
        <f>IFERROR(__xludf.DUMMYFUNCTION("""COMPUTED_VALUE"""),"International Conference on Learning Representations")</f>
        <v>International Conference on Learning Representations</v>
      </c>
      <c r="D23">
        <f>IFERROR(__xludf.DUMMYFUNCTION("""COMPUTED_VALUE"""),304.0)</f>
        <v>304</v>
      </c>
      <c r="E23" s="147" t="str">
        <f>IFERROR(__xludf.DUMMYFUNCTION("""COMPUTED_VALUE"""),"https://scholar.google.com.br/citations?hl=pt-BR&amp;vq=eng_artificialintelligence&amp;view_op=list_hcore&amp;venue=0032SoU2xY4J.2024")</f>
        <v>https://scholar.google.com.br/citations?hl=pt-BR&amp;vq=eng_artificialintelligence&amp;view_op=list_hcore&amp;venue=0032SoU2xY4J.2024</v>
      </c>
      <c r="I23" s="60" t="str">
        <f>IFERROR(__xludf.DUMMYFUNCTION("""COMPUTED_VALUE"""),"https://dblp.org/db/conf/iclr/index.html")</f>
        <v>https://dblp.org/db/conf/iclr/index.html</v>
      </c>
    </row>
    <row r="24">
      <c r="A24" s="68" t="str">
        <f>IFERROR(__xludf.DUMMYFUNCTION("""COMPUTED_VALUE"""),"Eventos da Área")</f>
        <v>Eventos da Área</v>
      </c>
      <c r="B24" t="str">
        <f>IFERROR(__xludf.DUMMYFUNCTION("""COMPUTED_VALUE"""),"ICRA")</f>
        <v>ICRA</v>
      </c>
      <c r="C24" t="str">
        <f>IFERROR(__xludf.DUMMYFUNCTION("""COMPUTED_VALUE"""),"IEEE International Conference on Robotics and Automation")</f>
        <v>IEEE International Conference on Robotics and Automation</v>
      </c>
      <c r="D24">
        <f>IFERROR(__xludf.DUMMYFUNCTION("""COMPUTED_VALUE"""),122.0)</f>
        <v>122</v>
      </c>
      <c r="E24" s="147" t="str">
        <f>IFERROR(__xludf.DUMMYFUNCTION("""COMPUTED_VALUE"""),"https://scholar.google.com/citations?hl=en&amp;view_op=list_hcore&amp;venue=Z88T8Kej-9oJ.2024")</f>
        <v>https://scholar.google.com/citations?hl=en&amp;view_op=list_hcore&amp;venue=Z88T8Kej-9oJ.2024</v>
      </c>
      <c r="I24" s="60" t="str">
        <f>IFERROR(__xludf.DUMMYFUNCTION("""COMPUTED_VALUE"""),"https://dblp.org/db/conf/icra/index.html")</f>
        <v>https://dblp.org/db/conf/icra/index.html</v>
      </c>
    </row>
    <row r="25">
      <c r="A25" s="68" t="str">
        <f>IFERROR(__xludf.DUMMYFUNCTION("""COMPUTED_VALUE"""),"Eventos da Área")</f>
        <v>Eventos da Área</v>
      </c>
      <c r="B25" t="str">
        <f>IFERROR(__xludf.DUMMYFUNCTION("""COMPUTED_VALUE"""),"IROS")</f>
        <v>IROS</v>
      </c>
      <c r="C25" t="str">
        <f>IFERROR(__xludf.DUMMYFUNCTION("""COMPUTED_VALUE"""),"IEEE/RSJ Intrernational Conference on Intelligent Robots and Systems")</f>
        <v>IEEE/RSJ Intrernational Conference on Intelligent Robots and Systems</v>
      </c>
      <c r="D25">
        <f>IFERROR(__xludf.DUMMYFUNCTION("""COMPUTED_VALUE"""),86.0)</f>
        <v>86</v>
      </c>
      <c r="E25" s="147" t="str">
        <f>IFERROR(__xludf.DUMMYFUNCTION("""COMPUTED_VALUE"""),"https://scholar.google.com/citations?hl=en&amp;vq=eng_robotics&amp;view_op=list_hcore&amp;venue=QZ31s4XlF8EJ.2024")</f>
        <v>https://scholar.google.com/citations?hl=en&amp;vq=eng_robotics&amp;view_op=list_hcore&amp;venue=QZ31s4XlF8EJ.2024</v>
      </c>
      <c r="I25" s="60" t="str">
        <f>IFERROR(__xludf.DUMMYFUNCTION("""COMPUTED_VALUE"""),"https://dblp.org/db/conf/iros/index.html")</f>
        <v>https://dblp.org/db/conf/iros/index.html</v>
      </c>
    </row>
    <row r="26">
      <c r="A26" s="68" t="str">
        <f>IFERROR(__xludf.DUMMYFUNCTION("""COMPUTED_VALUE"""),"Eventos da Área")</f>
        <v>Eventos da Área</v>
      </c>
      <c r="B26" t="str">
        <f>IFERROR(__xludf.DUMMYFUNCTION("""COMPUTED_VALUE"""),"BigData")</f>
        <v>BigData</v>
      </c>
      <c r="C26" t="str">
        <f>IFERROR(__xludf.DUMMYFUNCTION("""COMPUTED_VALUE"""),"IEEE International Conference on Big Data")</f>
        <v>IEEE International Conference on Big Data</v>
      </c>
      <c r="D26">
        <f>IFERROR(__xludf.DUMMYFUNCTION("""COMPUTED_VALUE"""),54.0)</f>
        <v>54</v>
      </c>
      <c r="E26" s="147" t="str">
        <f>IFERROR(__xludf.DUMMYFUNCTION("""COMPUTED_VALUE"""),"https://scholar.google.com.br/citations?hl=pt-BR&amp;view_op=list_hcore&amp;venue=5qcbaE0D5owJ.2024")</f>
        <v>https://scholar.google.com.br/citations?hl=pt-BR&amp;view_op=list_hcore&amp;venue=5qcbaE0D5owJ.2024</v>
      </c>
      <c r="I26" s="60" t="str">
        <f>IFERROR(__xludf.DUMMYFUNCTION("""COMPUTED_VALUE"""),"https://dblp.org/db/conf/bigdataconf/index.html")</f>
        <v>https://dblp.org/db/conf/bigdataconf/index.html</v>
      </c>
    </row>
    <row r="27">
      <c r="A27" s="68" t="str">
        <f>IFERROR(__xludf.DUMMYFUNCTION("""COMPUTED_VALUE"""),"Eventos da Área")</f>
        <v>Eventos da Área</v>
      </c>
      <c r="B27" t="str">
        <f>IFERROR(__xludf.DUMMYFUNCTION("""COMPUTED_VALUE"""),"RecSYS")</f>
        <v>RecSYS</v>
      </c>
      <c r="C27" t="str">
        <f>IFERROR(__xludf.DUMMYFUNCTION("""COMPUTED_VALUE"""),"ACM Conference on Recommender Systems")</f>
        <v>ACM Conference on Recommender Systems</v>
      </c>
      <c r="D27">
        <f>IFERROR(__xludf.DUMMYFUNCTION("""COMPUTED_VALUE"""),53.0)</f>
        <v>53</v>
      </c>
      <c r="E27" s="147" t="str">
        <f>IFERROR(__xludf.DUMMYFUNCTION("""COMPUTED_VALUE"""),"https://scholar.google.com.br/citations?hl=pt-BR&amp;vq=eng_datamininganalysis&amp;view_op=list_hcore&amp;venue=4-w_STT7RmEJ.2024")</f>
        <v>https://scholar.google.com.br/citations?hl=pt-BR&amp;vq=eng_datamininganalysis&amp;view_op=list_hcore&amp;venue=4-w_STT7RmEJ.2024</v>
      </c>
      <c r="I27" s="60" t="str">
        <f>IFERROR(__xludf.DUMMYFUNCTION("""COMPUTED_VALUE"""),"https://dblp.org/db/conf/recsys/index.html")</f>
        <v>https://dblp.org/db/conf/recsys/index.html</v>
      </c>
    </row>
    <row r="28">
      <c r="A28" s="68" t="str">
        <f>IFERROR(__xludf.DUMMYFUNCTION("""COMPUTED_VALUE"""),"Eventos da Área")</f>
        <v>Eventos da Área</v>
      </c>
      <c r="B28" t="str">
        <f>IFERROR(__xludf.DUMMYFUNCTION("""COMPUTED_VALUE"""),"ECAI")</f>
        <v>ECAI</v>
      </c>
      <c r="C28" t="str">
        <f>IFERROR(__xludf.DUMMYFUNCTION("""COMPUTED_VALUE"""),"European Conference on Artificial Intelligence")</f>
        <v>European Conference on Artificial Intelligence</v>
      </c>
      <c r="D28">
        <f>IFERROR(__xludf.DUMMYFUNCTION("""COMPUTED_VALUE"""),36.0)</f>
        <v>36</v>
      </c>
      <c r="E28" s="147" t="str">
        <f>IFERROR(__xludf.DUMMYFUNCTION("""COMPUTED_VALUE"""),"https://scholar.google.com.br/citations?hl=pt-BR&amp;view_op=list_hcore&amp;venue=ryLBm7fgHNMJ.2024")</f>
        <v>https://scholar.google.com.br/citations?hl=pt-BR&amp;view_op=list_hcore&amp;venue=ryLBm7fgHNMJ.2024</v>
      </c>
      <c r="I28" s="60" t="str">
        <f>IFERROR(__xludf.DUMMYFUNCTION("""COMPUTED_VALUE"""),"https://dblp.org/db/conf/ecai/index.html")</f>
        <v>https://dblp.org/db/conf/ecai/index.html</v>
      </c>
    </row>
    <row r="29">
      <c r="A29" s="68" t="str">
        <f>IFERROR(__xludf.DUMMYFUNCTION("""COMPUTED_VALUE"""),"Eventos da Área")</f>
        <v>Eventos da Área</v>
      </c>
      <c r="B29" t="str">
        <f>IFERROR(__xludf.DUMMYFUNCTION("""COMPUTED_VALUE"""),"SMC")</f>
        <v>SMC</v>
      </c>
      <c r="C29" t="str">
        <f>IFERROR(__xludf.DUMMYFUNCTION("""COMPUTED_VALUE"""),"IEEE International Conference on Systems, Man and Cybernetics")</f>
        <v>IEEE International Conference on Systems, Man and Cybernetics</v>
      </c>
      <c r="D29">
        <f>IFERROR(__xludf.DUMMYFUNCTION("""COMPUTED_VALUE"""),32.0)</f>
        <v>32</v>
      </c>
      <c r="E29" s="147" t="str">
        <f>IFERROR(__xludf.DUMMYFUNCTION("""COMPUTED_VALUE"""),"https://scholar.google.com/citations?hl=en&amp;view_op=list_hcore&amp;venue=I9UJ598p80sJ.2024")</f>
        <v>https://scholar.google.com/citations?hl=en&amp;view_op=list_hcore&amp;venue=I9UJ598p80sJ.2024</v>
      </c>
      <c r="I29" s="60" t="str">
        <f>IFERROR(__xludf.DUMMYFUNCTION("""COMPUTED_VALUE"""),"https://dblp.org/db/conf/smc/index.html")</f>
        <v>https://dblp.org/db/conf/smc/index.html</v>
      </c>
    </row>
    <row r="30">
      <c r="A30" s="68" t="str">
        <f>IFERROR(__xludf.DUMMYFUNCTION("""COMPUTED_VALUE"""),"Eventos da Área")</f>
        <v>Eventos da Área</v>
      </c>
      <c r="B30" t="str">
        <f>IFERROR(__xludf.DUMMYFUNCTION("""COMPUTED_VALUE"""),"SSCI")</f>
        <v>SSCI</v>
      </c>
      <c r="C30" t="str">
        <f>IFERROR(__xludf.DUMMYFUNCTION("""COMPUTED_VALUE"""),"IEEE Symposium Series on Computational Intelligence")</f>
        <v>IEEE Symposium Series on Computational Intelligence</v>
      </c>
      <c r="D30">
        <f>IFERROR(__xludf.DUMMYFUNCTION("""COMPUTED_VALUE"""),29.0)</f>
        <v>29</v>
      </c>
      <c r="E30" s="147" t="str">
        <f>IFERROR(__xludf.DUMMYFUNCTION("""COMPUTED_VALUE"""),"https://scholar.google.com/citations?hl=en&amp;view_op=list_hcore&amp;venue=c3DqEnruQwEJ.2024")</f>
        <v>https://scholar.google.com/citations?hl=en&amp;view_op=list_hcore&amp;venue=c3DqEnruQwEJ.2024</v>
      </c>
      <c r="I30" s="60" t="str">
        <f>IFERROR(__xludf.DUMMYFUNCTION("""COMPUTED_VALUE"""),"https://dblp.org/db/conf/ssci/index.html")</f>
        <v>https://dblp.org/db/conf/ssci/index.html</v>
      </c>
    </row>
    <row r="31">
      <c r="A31" s="68" t="str">
        <f>IFERROR(__xludf.DUMMYFUNCTION("""COMPUTED_VALUE"""),"Eventos da Área")</f>
        <v>Eventos da Área</v>
      </c>
      <c r="B31" t="str">
        <f>IFERROR(__xludf.DUMMYFUNCTION("""COMPUTED_VALUE"""),"ICONIP")</f>
        <v>ICONIP</v>
      </c>
      <c r="C31" t="str">
        <f>IFERROR(__xludf.DUMMYFUNCTION("""COMPUTED_VALUE"""),"International Conference on Neural Information Processing")</f>
        <v>International Conference on Neural Information Processing</v>
      </c>
      <c r="D31">
        <f>IFERROR(__xludf.DUMMYFUNCTION("""COMPUTED_VALUE"""),27.0)</f>
        <v>27</v>
      </c>
      <c r="E31" s="147" t="str">
        <f>IFERROR(__xludf.DUMMYFUNCTION("""COMPUTED_VALUE"""),"https://scholar.google.com/citations?hl=en&amp;view_op=list_hcore&amp;venue=sz4vWIwy-_cJ.2024")</f>
        <v>https://scholar.google.com/citations?hl=en&amp;view_op=list_hcore&amp;venue=sz4vWIwy-_cJ.2024</v>
      </c>
      <c r="I31" s="60" t="str">
        <f>IFERROR(__xludf.DUMMYFUNCTION("""COMPUTED_VALUE"""),"https://dblp.org/db/conf/iconip/index.html")</f>
        <v>https://dblp.org/db/conf/iconip/index.html</v>
      </c>
    </row>
    <row r="32">
      <c r="A32" s="68" t="str">
        <f>IFERROR(__xludf.DUMMYFUNCTION("""COMPUTED_VALUE"""),"Eventos da Área")</f>
        <v>Eventos da Área</v>
      </c>
      <c r="B32" t="str">
        <f>IFERROR(__xludf.DUMMYFUNCTION("""COMPUTED_VALUE"""),"EPIA")</f>
        <v>EPIA</v>
      </c>
      <c r="C32" t="str">
        <f>IFERROR(__xludf.DUMMYFUNCTION("""COMPUTED_VALUE"""),"Portuguese Conference on Artificial Intelligence ")</f>
        <v>Portuguese Conference on Artificial Intelligence </v>
      </c>
      <c r="D32">
        <f>IFERROR(__xludf.DUMMYFUNCTION("""COMPUTED_VALUE"""),16.0)</f>
        <v>16</v>
      </c>
      <c r="E32" s="147" t="str">
        <f>IFERROR(__xludf.DUMMYFUNCTION("""COMPUTED_VALUE"""),"https://scholar.google.com/citations?hl=en&amp;view_op=list_hcore&amp;venue=SDrbTPLn2T0J.2024")</f>
        <v>https://scholar.google.com/citations?hl=en&amp;view_op=list_hcore&amp;venue=SDrbTPLn2T0J.2024</v>
      </c>
      <c r="I32" s="60" t="str">
        <f>IFERROR(__xludf.DUMMYFUNCTION("""COMPUTED_VALUE"""),"https://dblp.org/db/conf/epia/index.html")</f>
        <v>https://dblp.org/db/conf/epia/index.html</v>
      </c>
    </row>
    <row r="33">
      <c r="A33" s="68" t="str">
        <f>IFERROR(__xludf.DUMMYFUNCTION("""COMPUTED_VALUE"""),"Eventos da Área")</f>
        <v>Eventos da Área</v>
      </c>
      <c r="B33" t="str">
        <f>IFERROR(__xludf.DUMMYFUNCTION("""COMPUTED_VALUE"""),"HIS")</f>
        <v>HIS</v>
      </c>
      <c r="C33" t="str">
        <f>IFERROR(__xludf.DUMMYFUNCTION("""COMPUTED_VALUE"""),"International Conference on Hybrid Intelligent Systems")</f>
        <v>International Conference on Hybrid Intelligent Systems</v>
      </c>
      <c r="D33">
        <f>IFERROR(__xludf.DUMMYFUNCTION("""COMPUTED_VALUE"""),15.0)</f>
        <v>15</v>
      </c>
      <c r="E33" s="147" t="str">
        <f>IFERROR(__xludf.DUMMYFUNCTION("""COMPUTED_VALUE"""),"https://scholar.google.com/citations?hl=en&amp;view_op=list_hcore&amp;venue=hF3Mhj6UPToJ.2024")</f>
        <v>https://scholar.google.com/citations?hl=en&amp;view_op=list_hcore&amp;venue=hF3Mhj6UPToJ.2024</v>
      </c>
      <c r="I33" s="60" t="str">
        <f>IFERROR(__xludf.DUMMYFUNCTION("""COMPUTED_VALUE"""),"https://dblp.org/db/conf/his/index.html")</f>
        <v>https://dblp.org/db/conf/his/index.html</v>
      </c>
    </row>
    <row r="34">
      <c r="A34" s="68" t="str">
        <f>IFERROR(__xludf.DUMMYFUNCTION("""COMPUTED_VALUE"""),"Eventos da Área")</f>
        <v>Eventos da Área</v>
      </c>
      <c r="B34" t="str">
        <f>IFERROR(__xludf.DUMMYFUNCTION("""COMPUTED_VALUE"""),"IPMU")</f>
        <v>IPMU</v>
      </c>
      <c r="C34" t="str">
        <f>IFERROR(__xludf.DUMMYFUNCTION("""COMPUTED_VALUE"""),"International Conference on Information Processing and Management of Uncertainty in Knowledge-Based Systems")</f>
        <v>International Conference on Information Processing and Management of Uncertainty in Knowledge-Based Systems</v>
      </c>
      <c r="D34">
        <f>IFERROR(__xludf.DUMMYFUNCTION("""COMPUTED_VALUE"""),12.0)</f>
        <v>12</v>
      </c>
      <c r="E34" s="147" t="str">
        <f>IFERROR(__xludf.DUMMYFUNCTION("""COMPUTED_VALUE"""),"https://scholar.google.com.br/citations?hl=pt-BR&amp;view_op=list_hcore&amp;venue=DxTMQsOcxf0J.2024")</f>
        <v>https://scholar.google.com.br/citations?hl=pt-BR&amp;view_op=list_hcore&amp;venue=DxTMQsOcxf0J.2024</v>
      </c>
      <c r="I34" s="60" t="str">
        <f>IFERROR(__xludf.DUMMYFUNCTION("""COMPUTED_VALUE"""),"https://dblp.org/db/conf/ipmu/index.html")</f>
        <v>https://dblp.org/db/conf/ipmu/index.html</v>
      </c>
    </row>
    <row r="35">
      <c r="A35" s="68" t="str">
        <f>IFERROR(__xludf.DUMMYFUNCTION("""COMPUTED_VALUE"""),"Eventos da Área")</f>
        <v>Eventos da Área</v>
      </c>
      <c r="B35" t="str">
        <f>IFERROR(__xludf.DUMMYFUNCTION("""COMPUTED_VALUE"""),"LA-CCI")</f>
        <v>LA-CCI</v>
      </c>
      <c r="C35" t="str">
        <f>IFERROR(__xludf.DUMMYFUNCTION("""COMPUTED_VALUE"""),"IEEE Latin American Conference on Computational Intelligence")</f>
        <v>IEEE Latin American Conference on Computational Intelligence</v>
      </c>
      <c r="D35">
        <f>IFERROR(__xludf.DUMMYFUNCTION("""COMPUTED_VALUE"""),10.0)</f>
        <v>10</v>
      </c>
      <c r="E35" s="147" t="str">
        <f>IFERROR(__xludf.DUMMYFUNCTION("""COMPUTED_VALUE"""),"https://scholar.google.com/citations?hl=en&amp;view_op=list_hcore&amp;venue=MQjh4nsifjAJ.2024")</f>
        <v>https://scholar.google.com/citations?hl=en&amp;view_op=list_hcore&amp;venue=MQjh4nsifjAJ.2024</v>
      </c>
      <c r="I35" s="60" t="str">
        <f>IFERROR(__xludf.DUMMYFUNCTION("""COMPUTED_VALUE"""),"https://dblp.org/db/conf/lacci/index.html")</f>
        <v>https://dblp.org/db/conf/lacci/index.html</v>
      </c>
    </row>
    <row r="36">
      <c r="A36" s="68" t="str">
        <f>IFERROR(__xludf.DUMMYFUNCTION("""COMPUTED_VALUE"""),"Eventos da Área")</f>
        <v>Eventos da Área</v>
      </c>
      <c r="B36" t="str">
        <f>IFERROR(__xludf.DUMMYFUNCTION("""COMPUTED_VALUE"""),"SBPO")</f>
        <v>SBPO</v>
      </c>
      <c r="C36" t="str">
        <f>IFERROR(__xludf.DUMMYFUNCTION("""COMPUTED_VALUE"""),"Simpósio Brasileiro de Pesquisa Operacional")</f>
        <v>Simpósio Brasileiro de Pesquisa Operacional</v>
      </c>
      <c r="E36" s="147"/>
    </row>
    <row r="37">
      <c r="A37" s="68" t="str">
        <f>IFERROR(__xludf.DUMMYFUNCTION("""COMPUTED_VALUE"""),"Eventos da Área")</f>
        <v>Eventos da Área</v>
      </c>
      <c r="E37" s="147"/>
    </row>
    <row r="38">
      <c r="A38" s="68" t="str">
        <f>IFERROR(__xludf.DUMMYFUNCTION("""COMPUTED_VALUE"""),"Eventos da Área")</f>
        <v>Eventos da Área</v>
      </c>
      <c r="E38" s="147"/>
    </row>
    <row r="39">
      <c r="A39" s="68" t="str">
        <f>IFERROR(__xludf.DUMMYFUNCTION("""COMPUTED_VALUE"""),"Eventos da Área")</f>
        <v>Eventos da Área</v>
      </c>
      <c r="E39" s="147"/>
    </row>
    <row r="40">
      <c r="A40" s="68" t="str">
        <f>IFERROR(__xludf.DUMMYFUNCTION("""COMPUTED_VALUE"""),"Eventos da Área")</f>
        <v>Eventos da Área</v>
      </c>
      <c r="E40" s="147"/>
    </row>
    <row r="41">
      <c r="A41" s="68" t="str">
        <f>IFERROR(__xludf.DUMMYFUNCTION("""COMPUTED_VALUE"""),"Eventos da Área")</f>
        <v>Eventos da Área</v>
      </c>
      <c r="E41" s="147"/>
    </row>
    <row r="42">
      <c r="A42" s="68" t="str">
        <f>IFERROR(__xludf.DUMMYFUNCTION("""COMPUTED_VALUE"""),"Eventos da Área")</f>
        <v>Eventos da Área</v>
      </c>
    </row>
    <row r="43">
      <c r="A43" s="68" t="str">
        <f>IFERROR(__xludf.DUMMYFUNCTION("""COMPUTED_VALUE"""),"Eventos da Área")</f>
        <v>Eventos da Área</v>
      </c>
    </row>
    <row r="44">
      <c r="A44" s="68" t="str">
        <f>IFERROR(__xludf.DUMMYFUNCTION("""COMPUTED_VALUE"""),"Eventos da Área")</f>
        <v>Eventos da Área</v>
      </c>
    </row>
    <row r="45">
      <c r="A45" s="68" t="str">
        <f>IFERROR(__xludf.DUMMYFUNCTION("""COMPUTED_VALUE"""),"Eventos da Área")</f>
        <v>Eventos da Área</v>
      </c>
    </row>
    <row r="46">
      <c r="A46" s="68" t="str">
        <f>IFERROR(__xludf.DUMMYFUNCTION("""COMPUTED_VALUE"""),"Eventos da Área")</f>
        <v>Eventos da Área</v>
      </c>
    </row>
    <row r="47">
      <c r="A47" s="68" t="str">
        <f>IFERROR(__xludf.DUMMYFUNCTION("""COMPUTED_VALUE"""),"Eventos da Área")</f>
        <v>Eventos da Área</v>
      </c>
    </row>
    <row r="48">
      <c r="A48" s="68" t="str">
        <f>IFERROR(__xludf.DUMMYFUNCTION("""COMPUTED_VALUE"""),"Eventos da Área")</f>
        <v>Eventos da Área</v>
      </c>
    </row>
    <row r="49">
      <c r="A49" s="68" t="str">
        <f>IFERROR(__xludf.DUMMYFUNCTION("""COMPUTED_VALUE"""),"Eventos da Área")</f>
        <v>Eventos da Área</v>
      </c>
    </row>
    <row r="50">
      <c r="A50" s="68" t="str">
        <f>IFERROR(__xludf.DUMMYFUNCTION("""COMPUTED_VALUE"""),"Eventos da Área")</f>
        <v>Eventos da Área</v>
      </c>
    </row>
    <row r="51">
      <c r="A51" s="68" t="str">
        <f>IFERROR(__xludf.DUMMYFUNCTION("""COMPUTED_VALUE"""),"Eventos da Área")</f>
        <v>Eventos da Área</v>
      </c>
    </row>
    <row r="52">
      <c r="A52" s="68" t="str">
        <f>IFERROR(__xludf.DUMMYFUNCTION("""COMPUTED_VALUE"""),"Eventos da Área")</f>
        <v>Eventos da Área</v>
      </c>
    </row>
    <row r="53">
      <c r="A53" s="68" t="str">
        <f>IFERROR(__xludf.DUMMYFUNCTION("""COMPUTED_VALUE"""),"Eventos da Área")</f>
        <v>Eventos da Área</v>
      </c>
    </row>
    <row r="54">
      <c r="A54" s="68" t="str">
        <f>IFERROR(__xludf.DUMMYFUNCTION("""COMPUTED_VALUE"""),"Eventos da Área")</f>
        <v>Eventos da Área</v>
      </c>
    </row>
    <row r="55">
      <c r="A55" s="68" t="str">
        <f>IFERROR(__xludf.DUMMYFUNCTION("""COMPUTED_VALUE"""),"Eventos da Área")</f>
        <v>Eventos da Área</v>
      </c>
    </row>
    <row r="56">
      <c r="A56" s="68" t="str">
        <f>IFERROR(__xludf.DUMMYFUNCTION("""COMPUTED_VALUE"""),"Eventos da Área")</f>
        <v>Eventos da Área</v>
      </c>
    </row>
    <row r="57">
      <c r="A57" s="68" t="str">
        <f>IFERROR(__xludf.DUMMYFUNCTION("""COMPUTED_VALUE"""),"Eventos da Área")</f>
        <v>Eventos da Área</v>
      </c>
    </row>
    <row r="58">
      <c r="A58" s="68" t="str">
        <f>IFERROR(__xludf.DUMMYFUNCTION("""COMPUTED_VALUE"""),"Eventos da Área")</f>
        <v>Eventos da Área</v>
      </c>
    </row>
    <row r="59">
      <c r="A59" s="68" t="str">
        <f>IFERROR(__xludf.DUMMYFUNCTION("""COMPUTED_VALUE"""),"Eventos da Área")</f>
        <v>Eventos da Área</v>
      </c>
    </row>
    <row r="60">
      <c r="A60" s="68" t="str">
        <f>IFERROR(__xludf.DUMMYFUNCTION("""COMPUTED_VALUE"""),"Eventos da Área")</f>
        <v>Eventos da Área</v>
      </c>
    </row>
    <row r="61">
      <c r="A61" s="68" t="str">
        <f>IFERROR(__xludf.DUMMYFUNCTION("""COMPUTED_VALUE"""),"Eventos da Área")</f>
        <v>Eventos da Área</v>
      </c>
    </row>
    <row r="62">
      <c r="A62" s="68" t="str">
        <f>IFERROR(__xludf.DUMMYFUNCTION("""COMPUTED_VALUE"""),"Eventos da Área")</f>
        <v>Eventos da Área</v>
      </c>
    </row>
    <row r="63">
      <c r="A63" s="68" t="str">
        <f>IFERROR(__xludf.DUMMYFUNCTION("""COMPUTED_VALUE"""),"Eventos da Área")</f>
        <v>Eventos da Área</v>
      </c>
    </row>
    <row r="64">
      <c r="A64" s="68" t="str">
        <f>IFERROR(__xludf.DUMMYFUNCTION("""COMPUTED_VALUE"""),"Eventos da Área")</f>
        <v>Eventos da Área</v>
      </c>
    </row>
    <row r="65">
      <c r="A65" s="68" t="str">
        <f>IFERROR(__xludf.DUMMYFUNCTION("""COMPUTED_VALUE"""),"Eventos da Área")</f>
        <v>Eventos da Área</v>
      </c>
    </row>
    <row r="66">
      <c r="A66" s="68" t="str">
        <f>IFERROR(__xludf.DUMMYFUNCTION("""COMPUTED_VALUE"""),"Eventos da Área")</f>
        <v>Eventos da Área</v>
      </c>
    </row>
    <row r="67">
      <c r="A67" s="68" t="str">
        <f>IFERROR(__xludf.DUMMYFUNCTION("""COMPUTED_VALUE"""),"Eventos da Área")</f>
        <v>Eventos da Área</v>
      </c>
    </row>
    <row r="68">
      <c r="A68" s="68" t="str">
        <f>IFERROR(__xludf.DUMMYFUNCTION("""COMPUTED_VALUE"""),"Eventos da Área")</f>
        <v>Eventos da Área</v>
      </c>
    </row>
    <row r="69">
      <c r="A69" s="68" t="str">
        <f>IFERROR(__xludf.DUMMYFUNCTION("""COMPUTED_VALUE"""),"Eventos da Área")</f>
        <v>Eventos da Área</v>
      </c>
    </row>
    <row r="70">
      <c r="A70" s="68" t="str">
        <f>IFERROR(__xludf.DUMMYFUNCTION("""COMPUTED_VALUE"""),"Eventos da Área")</f>
        <v>Eventos da Área</v>
      </c>
    </row>
    <row r="71">
      <c r="A71" s="68" t="str">
        <f>IFERROR(__xludf.DUMMYFUNCTION("""COMPUTED_VALUE"""),"Eventos da Área")</f>
        <v>Eventos da Área</v>
      </c>
    </row>
    <row r="72">
      <c r="A72" s="68" t="str">
        <f>IFERROR(__xludf.DUMMYFUNCTION("""COMPUTED_VALUE"""),"Eventos da Área")</f>
        <v>Eventos da Área</v>
      </c>
    </row>
    <row r="73">
      <c r="A73" s="68" t="str">
        <f>IFERROR(__xludf.DUMMYFUNCTION("""COMPUTED_VALUE"""),"Eventos da Área")</f>
        <v>Eventos da Área</v>
      </c>
    </row>
    <row r="74">
      <c r="A74" s="68" t="str">
        <f>IFERROR(__xludf.DUMMYFUNCTION("""COMPUTED_VALUE"""),"Eventos da Área")</f>
        <v>Eventos da Área</v>
      </c>
    </row>
    <row r="75">
      <c r="A75" s="68" t="str">
        <f>IFERROR(__xludf.DUMMYFUNCTION("""COMPUTED_VALUE"""),"Eventos da Área")</f>
        <v>Eventos da Área</v>
      </c>
    </row>
    <row r="76">
      <c r="A76" s="68" t="str">
        <f>IFERROR(__xludf.DUMMYFUNCTION("""COMPUTED_VALUE"""),"Eventos da Área")</f>
        <v>Eventos da Área</v>
      </c>
    </row>
    <row r="77">
      <c r="A77" s="68" t="str">
        <f>IFERROR(__xludf.DUMMYFUNCTION("""COMPUTED_VALUE"""),"Eventos da Área")</f>
        <v>Eventos da Área</v>
      </c>
    </row>
    <row r="78">
      <c r="A78" s="68" t="str">
        <f>IFERROR(__xludf.DUMMYFUNCTION("""COMPUTED_VALUE"""),"Eventos da Área")</f>
        <v>Eventos da Área</v>
      </c>
    </row>
    <row r="79">
      <c r="A79" s="68" t="str">
        <f>IFERROR(__xludf.DUMMYFUNCTION("""COMPUTED_VALUE"""),"Eventos da Área")</f>
        <v>Eventos da Área</v>
      </c>
    </row>
    <row r="80">
      <c r="A80" s="68" t="str">
        <f>IFERROR(__xludf.DUMMYFUNCTION("""COMPUTED_VALUE"""),"Eventos da Área")</f>
        <v>Eventos da Área</v>
      </c>
    </row>
    <row r="81">
      <c r="A81" s="68" t="str">
        <f>IFERROR(__xludf.DUMMYFUNCTION("""COMPUTED_VALUE"""),"Eventos da Área")</f>
        <v>Eventos da Área</v>
      </c>
    </row>
    <row r="82">
      <c r="A82" s="68" t="str">
        <f>IFERROR(__xludf.DUMMYFUNCTION("""COMPUTED_VALUE"""),"Eventos da Área")</f>
        <v>Eventos da Área</v>
      </c>
    </row>
    <row r="83">
      <c r="A83" s="68" t="str">
        <f>IFERROR(__xludf.DUMMYFUNCTION("""COMPUTED_VALUE"""),"Eventos da Área")</f>
        <v>Eventos da Área</v>
      </c>
    </row>
    <row r="84">
      <c r="A84" s="68" t="str">
        <f>IFERROR(__xludf.DUMMYFUNCTION("""COMPUTED_VALUE"""),"Eventos da Área")</f>
        <v>Eventos da Área</v>
      </c>
    </row>
    <row r="85">
      <c r="A85" s="68" t="str">
        <f>IFERROR(__xludf.DUMMYFUNCTION("""COMPUTED_VALUE"""),"Eventos da Área")</f>
        <v>Eventos da Área</v>
      </c>
    </row>
    <row r="86">
      <c r="A86" s="68" t="str">
        <f>IFERROR(__xludf.DUMMYFUNCTION("""COMPUTED_VALUE"""),"Eventos da Área")</f>
        <v>Eventos da Área</v>
      </c>
    </row>
    <row r="87">
      <c r="A87" s="68" t="str">
        <f>IFERROR(__xludf.DUMMYFUNCTION("""COMPUTED_VALUE"""),"Eventos da Área")</f>
        <v>Eventos da Área</v>
      </c>
    </row>
    <row r="88">
      <c r="A88" s="68" t="str">
        <f>IFERROR(__xludf.DUMMYFUNCTION("""COMPUTED_VALUE"""),"Eventos da Área")</f>
        <v>Eventos da Área</v>
      </c>
    </row>
    <row r="89">
      <c r="A89" s="68" t="str">
        <f>IFERROR(__xludf.DUMMYFUNCTION("""COMPUTED_VALUE"""),"Eventos da Área")</f>
        <v>Eventos da Área</v>
      </c>
    </row>
    <row r="90">
      <c r="A90" s="68" t="str">
        <f>IFERROR(__xludf.DUMMYFUNCTION("""COMPUTED_VALUE"""),"Eventos da Área")</f>
        <v>Eventos da Área</v>
      </c>
    </row>
    <row r="91">
      <c r="A91" s="68" t="str">
        <f>IFERROR(__xludf.DUMMYFUNCTION("""COMPUTED_VALUE"""),"Eventos da Área")</f>
        <v>Eventos da Área</v>
      </c>
    </row>
    <row r="92">
      <c r="A92" s="68" t="str">
        <f>IFERROR(__xludf.DUMMYFUNCTION("""COMPUTED_VALUE"""),"Eventos da Área")</f>
        <v>Eventos da Área</v>
      </c>
    </row>
    <row r="93">
      <c r="A93" s="68" t="str">
        <f>IFERROR(__xludf.DUMMYFUNCTION("""COMPUTED_VALUE"""),"Eventos da Área")</f>
        <v>Eventos da Área</v>
      </c>
    </row>
    <row r="94">
      <c r="A94" s="68" t="str">
        <f>IFERROR(__xludf.DUMMYFUNCTION("""COMPUTED_VALUE"""),"Eventos da Área")</f>
        <v>Eventos da Área</v>
      </c>
    </row>
    <row r="95">
      <c r="A95" s="68" t="str">
        <f>IFERROR(__xludf.DUMMYFUNCTION("""COMPUTED_VALUE"""),"Eventos da Área")</f>
        <v>Eventos da Área</v>
      </c>
    </row>
    <row r="96">
      <c r="A96" s="68" t="str">
        <f>IFERROR(__xludf.DUMMYFUNCTION("""COMPUTED_VALUE"""),"Eventos da Área")</f>
        <v>Eventos da Área</v>
      </c>
    </row>
    <row r="97">
      <c r="A97" s="68" t="str">
        <f>IFERROR(__xludf.DUMMYFUNCTION("""COMPUTED_VALUE"""),"Eventos da Área")</f>
        <v>Eventos da Área</v>
      </c>
    </row>
    <row r="98">
      <c r="A98" s="68" t="str">
        <f>IFERROR(__xludf.DUMMYFUNCTION("""COMPUTED_VALUE"""),"Eventos da Área")</f>
        <v>Eventos da Área</v>
      </c>
    </row>
    <row r="99">
      <c r="A99" s="68"/>
    </row>
    <row r="100">
      <c r="A100" s="68"/>
    </row>
    <row r="101">
      <c r="A101" s="68"/>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E10"/>
    <hyperlink r:id="rId18" ref="I10"/>
    <hyperlink r:id="rId19" ref="E11"/>
    <hyperlink r:id="rId20" ref="J11"/>
    <hyperlink r:id="rId21" ref="E12"/>
    <hyperlink r:id="rId22" ref="I12"/>
    <hyperlink r:id="rId23" ref="E13"/>
    <hyperlink r:id="rId24" ref="I13"/>
    <hyperlink r:id="rId25" ref="E14"/>
    <hyperlink r:id="rId26" ref="I14"/>
    <hyperlink r:id="rId27" ref="E15"/>
    <hyperlink r:id="rId28" ref="I15"/>
    <hyperlink r:id="rId29" ref="E16"/>
    <hyperlink r:id="rId30" ref="I16"/>
    <hyperlink r:id="rId31" ref="E17"/>
    <hyperlink r:id="rId32" ref="I17"/>
    <hyperlink r:id="rId33" ref="E18"/>
    <hyperlink r:id="rId34" ref="I18"/>
    <hyperlink r:id="rId35" ref="E19"/>
    <hyperlink r:id="rId36" ref="I19"/>
    <hyperlink r:id="rId37" ref="E20"/>
    <hyperlink r:id="rId38" ref="I20"/>
    <hyperlink r:id="rId39" ref="E21"/>
    <hyperlink r:id="rId40" ref="I21"/>
    <hyperlink r:id="rId41" ref="E23"/>
    <hyperlink r:id="rId42" ref="I23"/>
    <hyperlink r:id="rId43" ref="E24"/>
    <hyperlink r:id="rId44" ref="I24"/>
    <hyperlink r:id="rId45" ref="E25"/>
    <hyperlink r:id="rId46" ref="I25"/>
    <hyperlink r:id="rId47" ref="E26"/>
    <hyperlink r:id="rId48" ref="I26"/>
    <hyperlink r:id="rId49" ref="E27"/>
    <hyperlink r:id="rId50" ref="I27"/>
    <hyperlink r:id="rId51" ref="E28"/>
    <hyperlink r:id="rId52" ref="I28"/>
    <hyperlink r:id="rId53" ref="E29"/>
    <hyperlink r:id="rId54" ref="I29"/>
    <hyperlink r:id="rId55" ref="E30"/>
    <hyperlink r:id="rId56" ref="I30"/>
    <hyperlink r:id="rId57" ref="E31"/>
    <hyperlink r:id="rId58" ref="I31"/>
    <hyperlink r:id="rId59" ref="E32"/>
    <hyperlink r:id="rId60" ref="I32"/>
    <hyperlink r:id="rId61" ref="E33"/>
    <hyperlink r:id="rId62" ref="I33"/>
    <hyperlink r:id="rId63" ref="E34"/>
    <hyperlink r:id="rId64" ref="I34"/>
    <hyperlink r:id="rId65" ref="E35"/>
    <hyperlink r:id="rId66" ref="I35"/>
  </hyperlinks>
  <drawing r:id="rId67"/>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49.25"/>
    <col customWidth="1" min="5" max="5" width="78.13"/>
    <col customWidth="1" min="7" max="7" width="30.5"/>
    <col customWidth="1" min="8" max="8" width="28.88"/>
    <col customWidth="1" min="9" max="9" width="35.75"/>
    <col customWidth="1" min="10" max="10" width="29.88"/>
  </cols>
  <sheetData>
    <row r="1">
      <c r="A1" s="1" t="str">
        <f>IFERROR(__xludf.DUMMYFUNCTION("importrange(""https://docs.google.com/spreadsheets/d/1zjVSKPtHeHbai9B3jwj6znSWQCYZAc0xVT-OCu8WURs/edit#gid=1391779597"",""CE-IHC!A1:J150"")"),"TOP")</f>
        <v>TOP</v>
      </c>
      <c r="B1" s="2" t="str">
        <f>IFERROR(__xludf.DUMMYFUNCTION("""COMPUTED_VALUE"""),"SIGLA")</f>
        <v>SIGLA</v>
      </c>
      <c r="C1" s="2" t="str">
        <f>IFERROR(__xludf.DUMMYFUNCTION("""COMPUTED_VALUE"""),"NOME")</f>
        <v>NOME</v>
      </c>
      <c r="D1" s="2" t="str">
        <f>IFERROR(__xludf.DUMMYFUNCTION("""COMPUTED_VALUE"""),"H5")</f>
        <v>H5</v>
      </c>
      <c r="E1" s="2" t="str">
        <f>IFERROR(__xludf.DUMMYFUNCTION("""COMPUTED_VALUE"""),"GOOGLE METRICS LINK")</f>
        <v>GOOGLE METRICS LINK</v>
      </c>
      <c r="F1" s="2"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row>
    <row r="2">
      <c r="A2" s="58" t="str">
        <f>IFERROR(__xludf.DUMMYFUNCTION("""COMPUTED_VALUE"""),"Top 10")</f>
        <v>Top 10</v>
      </c>
      <c r="B2" t="str">
        <f>IFERROR(__xludf.DUMMYFUNCTION("""COMPUTED_VALUE"""),"CHI")</f>
        <v>CHI</v>
      </c>
      <c r="C2" t="str">
        <f>IFERROR(__xludf.DUMMYFUNCTION("""COMPUTED_VALUE"""),"ACM Conference on Human Factors in Computing Systems")</f>
        <v>ACM Conference on Human Factors in Computing Systems</v>
      </c>
      <c r="D2">
        <f>IFERROR(__xludf.DUMMYFUNCTION("""COMPUTED_VALUE"""),129.0)</f>
        <v>129</v>
      </c>
      <c r="E2" s="147" t="str">
        <f>IFERROR(__xludf.DUMMYFUNCTION("""COMPUTED_VALUE"""),"https://scholar.google.com/citations?hl=en&amp;vq=eng_humancomputerinteraction&amp;view_op=list_hcore&amp;venue=6NNnGOq9_mAJ.2024")</f>
        <v>https://scholar.google.com/citations?hl=en&amp;vq=eng_humancomputerinteraction&amp;view_op=list_hcore&amp;venue=6NNnGOq9_mAJ.2024</v>
      </c>
      <c r="I2" s="60" t="str">
        <f>IFERROR(__xludf.DUMMYFUNCTION("""COMPUTED_VALUE"""),"https://dblp.org/db/conf/chi/index.html")</f>
        <v>https://dblp.org/db/conf/chi/index.html</v>
      </c>
    </row>
    <row r="3">
      <c r="A3" s="58" t="str">
        <f>IFERROR(__xludf.DUMMYFUNCTION("""COMPUTED_VALUE"""),"Top 10")</f>
        <v>Top 10</v>
      </c>
      <c r="B3" t="str">
        <f>IFERROR(__xludf.DUMMYFUNCTION("""COMPUTED_VALUE"""),"IUI")</f>
        <v>IUI</v>
      </c>
      <c r="C3" t="str">
        <f>IFERROR(__xludf.DUMMYFUNCTION("""COMPUTED_VALUE"""),"International Conference on Intelligent User Interfaces")</f>
        <v>International Conference on Intelligent User Interfaces</v>
      </c>
      <c r="D3">
        <f>IFERROR(__xludf.DUMMYFUNCTION("""COMPUTED_VALUE"""),52.0)</f>
        <v>52</v>
      </c>
      <c r="E3" s="147" t="str">
        <f>IFERROR(__xludf.DUMMYFUNCTION("""COMPUTED_VALUE"""),"https://scholar.google.com/citations?hl=en&amp;vq=eng_humancomputerinteraction&amp;view_op=list_hcore&amp;venue=-_BzfdwqRVsJ.2024")</f>
        <v>https://scholar.google.com/citations?hl=en&amp;vq=eng_humancomputerinteraction&amp;view_op=list_hcore&amp;venue=-_BzfdwqRVsJ.2024</v>
      </c>
      <c r="I3" s="60" t="str">
        <f>IFERROR(__xludf.DUMMYFUNCTION("""COMPUTED_VALUE"""),"https://dblp.org/db/conf/iui/index.html")</f>
        <v>https://dblp.org/db/conf/iui/index.html</v>
      </c>
    </row>
    <row r="4">
      <c r="A4" s="58" t="str">
        <f>IFERROR(__xludf.DUMMYFUNCTION("""COMPUTED_VALUE"""),"Top 10")</f>
        <v>Top 10</v>
      </c>
      <c r="B4" t="str">
        <f>IFERROR(__xludf.DUMMYFUNCTION("""COMPUTED_VALUE"""),"UIST")</f>
        <v>UIST</v>
      </c>
      <c r="C4" t="str">
        <f>IFERROR(__xludf.DUMMYFUNCTION("""COMPUTED_VALUE"""),"ACM Symposium on User Interface Software and Technology")</f>
        <v>ACM Symposium on User Interface Software and Technology</v>
      </c>
      <c r="D4">
        <f>IFERROR(__xludf.DUMMYFUNCTION("""COMPUTED_VALUE"""),51.0)</f>
        <v>51</v>
      </c>
      <c r="E4" s="147" t="str">
        <f>IFERROR(__xludf.DUMMYFUNCTION("""COMPUTED_VALUE"""),"https://scholar.google.com/citations?hl=en&amp;vq=eng_humancomputerinteraction&amp;view_op=list_hcore&amp;venue=vl9z3BzoXrgJ.2024")</f>
        <v>https://scholar.google.com/citations?hl=en&amp;vq=eng_humancomputerinteraction&amp;view_op=list_hcore&amp;venue=vl9z3BzoXrgJ.2024</v>
      </c>
      <c r="I4" s="60" t="str">
        <f>IFERROR(__xludf.DUMMYFUNCTION("""COMPUTED_VALUE"""),"https://dblp.org/db/conf/uist/index.html")</f>
        <v>https://dblp.org/db/conf/uist/index.html</v>
      </c>
    </row>
    <row r="5">
      <c r="A5" s="58" t="str">
        <f>IFERROR(__xludf.DUMMYFUNCTION("""COMPUTED_VALUE"""),"Top 10")</f>
        <v>Top 10</v>
      </c>
      <c r="B5" t="str">
        <f>IFERROR(__xludf.DUMMYFUNCTION("""COMPUTED_VALUE"""),"DIS")</f>
        <v>DIS</v>
      </c>
      <c r="C5" t="str">
        <f>IFERROR(__xludf.DUMMYFUNCTION("""COMPUTED_VALUE"""),"ACM Designing Interactive Systems")</f>
        <v>ACM Designing Interactive Systems</v>
      </c>
      <c r="D5">
        <f>IFERROR(__xludf.DUMMYFUNCTION("""COMPUTED_VALUE"""),49.0)</f>
        <v>49</v>
      </c>
      <c r="E5" s="147" t="str">
        <f>IFERROR(__xludf.DUMMYFUNCTION("""COMPUTED_VALUE"""),"https://scholar.google.com/citations?hl=en&amp;vq=eng_humancomputerinteraction&amp;view_op=list_hcore&amp;venue=NL3siS1OXxYJ.2024")</f>
        <v>https://scholar.google.com/citations?hl=en&amp;vq=eng_humancomputerinteraction&amp;view_op=list_hcore&amp;venue=NL3siS1OXxYJ.2024</v>
      </c>
      <c r="I5" s="60" t="str">
        <f>IFERROR(__xludf.DUMMYFUNCTION("""COMPUTED_VALUE"""),"https://dblp.org/db/conf/ACMdis/index.html")</f>
        <v>https://dblp.org/db/conf/ACMdis/index.html</v>
      </c>
    </row>
    <row r="6">
      <c r="A6" s="58" t="str">
        <f>IFERROR(__xludf.DUMMYFUNCTION("""COMPUTED_VALUE"""),"Top 10")</f>
        <v>Top 10</v>
      </c>
      <c r="B6" t="str">
        <f>IFERROR(__xludf.DUMMYFUNCTION("""COMPUTED_VALUE"""),"IDC")</f>
        <v>IDC</v>
      </c>
      <c r="C6" t="str">
        <f>IFERROR(__xludf.DUMMYFUNCTION("""COMPUTED_VALUE"""),"International Conference on Interaction Design and Children")</f>
        <v>International Conference on Interaction Design and Children</v>
      </c>
      <c r="D6">
        <f>IFERROR(__xludf.DUMMYFUNCTION("""COMPUTED_VALUE"""),33.0)</f>
        <v>33</v>
      </c>
      <c r="E6" s="147" t="str">
        <f>IFERROR(__xludf.DUMMYFUNCTION("""COMPUTED_VALUE"""),"https://scholar.google.com/citations?hl=en&amp;view_op=list_hcore&amp;venue=6bHuP8hpZRIJ.2024")</f>
        <v>https://scholar.google.com/citations?hl=en&amp;view_op=list_hcore&amp;venue=6bHuP8hpZRIJ.2024</v>
      </c>
      <c r="I6" s="60" t="str">
        <f>IFERROR(__xludf.DUMMYFUNCTION("""COMPUTED_VALUE"""),"https://dblp.org/db/conf/acmidc/index.html")</f>
        <v>https://dblp.org/db/conf/acmidc/index.html</v>
      </c>
    </row>
    <row r="7">
      <c r="A7" s="58" t="str">
        <f>IFERROR(__xludf.DUMMYFUNCTION("""COMPUTED_VALUE"""),"Top 10")</f>
        <v>Top 10</v>
      </c>
      <c r="B7" t="str">
        <f>IFERROR(__xludf.DUMMYFUNCTION("""COMPUTED_VALUE"""),"ASSETS")</f>
        <v>ASSETS</v>
      </c>
      <c r="C7" t="str">
        <f>IFERROR(__xludf.DUMMYFUNCTION("""COMPUTED_VALUE"""),"International ACM SIGACCESS Conference on Computers and Accessibility")</f>
        <v>International ACM SIGACCESS Conference on Computers and Accessibility</v>
      </c>
      <c r="D7">
        <f>IFERROR(__xludf.DUMMYFUNCTION("""COMPUTED_VALUE"""),32.0)</f>
        <v>32</v>
      </c>
      <c r="E7" s="147" t="str">
        <f>IFERROR(__xludf.DUMMYFUNCTION("""COMPUTED_VALUE"""),"https://scholar.google.com/citations?hl=en&amp;view_op=list_hcore&amp;venue=c5bgEi18VesJ.2024")</f>
        <v>https://scholar.google.com/citations?hl=en&amp;view_op=list_hcore&amp;venue=c5bgEi18VesJ.2024</v>
      </c>
      <c r="I7" s="60" t="str">
        <f>IFERROR(__xludf.DUMMYFUNCTION("""COMPUTED_VALUE"""),"https://dblp.org/db/conf/assets/index.html")</f>
        <v>https://dblp.org/db/conf/assets/index.html</v>
      </c>
    </row>
    <row r="8">
      <c r="A8" s="58" t="str">
        <f>IFERROR(__xludf.DUMMYFUNCTION("""COMPUTED_VALUE"""),"Top 10")</f>
        <v>Top 10</v>
      </c>
      <c r="B8" t="str">
        <f>IFERROR(__xludf.DUMMYFUNCTION("""COMPUTED_VALUE"""),"INTERACT")</f>
        <v>INTERACT</v>
      </c>
      <c r="C8" t="str">
        <f>IFERROR(__xludf.DUMMYFUNCTION("""COMPUTED_VALUE"""),"IFIP International Conference on Human-Computer Interaction")</f>
        <v>IFIP International Conference on Human-Computer Interaction</v>
      </c>
      <c r="D8">
        <f>IFERROR(__xludf.DUMMYFUNCTION("""COMPUTED_VALUE"""),23.0)</f>
        <v>23</v>
      </c>
      <c r="E8" s="147" t="str">
        <f>IFERROR(__xludf.DUMMYFUNCTION("""COMPUTED_VALUE"""),"https://scholar.google.com/citations?hl=en&amp;view_op=list_hcore&amp;venue=6hYO_ZiWs1YJ.2024")</f>
        <v>https://scholar.google.com/citations?hl=en&amp;view_op=list_hcore&amp;venue=6hYO_ZiWs1YJ.2024</v>
      </c>
      <c r="I8" s="60" t="str">
        <f>IFERROR(__xludf.DUMMYFUNCTION("""COMPUTED_VALUE"""),"https://dblp.org/db/conf/interact/index.html")</f>
        <v>https://dblp.org/db/conf/interact/index.html</v>
      </c>
    </row>
    <row r="9">
      <c r="A9" s="58" t="str">
        <f>IFERROR(__xludf.DUMMYFUNCTION("""COMPUTED_VALUE"""),"Top 10")</f>
        <v>Top 10</v>
      </c>
      <c r="B9" t="str">
        <f>IFERROR(__xludf.DUMMYFUNCTION("""COMPUTED_VALUE"""),"NordiCHI")</f>
        <v>NordiCHI</v>
      </c>
      <c r="C9" t="str">
        <f>IFERROR(__xludf.DUMMYFUNCTION("""COMPUTED_VALUE"""),"Nordic forum for Human-Computer Interaction")</f>
        <v>Nordic forum for Human-Computer Interaction</v>
      </c>
      <c r="D9">
        <f>IFERROR(__xludf.DUMMYFUNCTION("""COMPUTED_VALUE"""),24.0)</f>
        <v>24</v>
      </c>
      <c r="E9" s="147" t="str">
        <f>IFERROR(__xludf.DUMMYFUNCTION("""COMPUTED_VALUE"""),"https://scholar.google.com/citations?hl=en&amp;view_op=list_hcore&amp;venue=JMsm_h2lofMJ.2024")</f>
        <v>https://scholar.google.com/citations?hl=en&amp;view_op=list_hcore&amp;venue=JMsm_h2lofMJ.2024</v>
      </c>
      <c r="I9" s="60" t="str">
        <f>IFERROR(__xludf.DUMMYFUNCTION("""COMPUTED_VALUE"""),"https://dblp.org/db/conf/nordichi/index.html")</f>
        <v>https://dblp.org/db/conf/nordichi/index.html</v>
      </c>
    </row>
    <row r="10">
      <c r="A10" s="58" t="str">
        <f>IFERROR(__xludf.DUMMYFUNCTION("""COMPUTED_VALUE"""),"Top 10")</f>
        <v>Top 10</v>
      </c>
      <c r="B10" t="str">
        <f>IFERROR(__xludf.DUMMYFUNCTION("""COMPUTED_VALUE"""),"MobileHCI")</f>
        <v>MobileHCI</v>
      </c>
      <c r="C10" t="str">
        <f>IFERROR(__xludf.DUMMYFUNCTION("""COMPUTED_VALUE"""),"International Conference on Human-Computer Interaction with Mobile Devices and Services")</f>
        <v>International Conference on Human-Computer Interaction with Mobile Devices and Services</v>
      </c>
      <c r="D10">
        <f>IFERROR(__xludf.DUMMYFUNCTION("""COMPUTED_VALUE"""),22.0)</f>
        <v>22</v>
      </c>
      <c r="E10" s="147" t="str">
        <f>IFERROR(__xludf.DUMMYFUNCTION("""COMPUTED_VALUE"""),"https://scholar.google.com/citations?hl=en&amp;vq=eng_humancomputerinteraction&amp;view_op=list_hcore&amp;venue=FYz8XSTnq6sJ.2024")</f>
        <v>https://scholar.google.com/citations?hl=en&amp;vq=eng_humancomputerinteraction&amp;view_op=list_hcore&amp;venue=FYz8XSTnq6sJ.2024</v>
      </c>
      <c r="I10" s="60" t="str">
        <f>IFERROR(__xludf.DUMMYFUNCTION("""COMPUTED_VALUE"""),"https://dblp.org/db/conf/mhci/index.html")</f>
        <v>https://dblp.org/db/conf/mhci/index.html</v>
      </c>
    </row>
    <row r="11">
      <c r="A11" s="58" t="str">
        <f>IFERROR(__xludf.DUMMYFUNCTION("""COMPUTED_VALUE"""),"Top 10")</f>
        <v>Top 10</v>
      </c>
      <c r="B11" t="str">
        <f>IFERROR(__xludf.DUMMYFUNCTION("""COMPUTED_VALUE"""),"IHC")</f>
        <v>IHC</v>
      </c>
      <c r="C11" t="str">
        <f>IFERROR(__xludf.DUMMYFUNCTION("""COMPUTED_VALUE"""),"Simpósio Brasileiro sobre Fatores Humanos em Sistemas Computacionais")</f>
        <v>Simpósio Brasileiro sobre Fatores Humanos em Sistemas Computacionais</v>
      </c>
      <c r="D11">
        <f>IFERROR(__xludf.DUMMYFUNCTION("""COMPUTED_VALUE"""),14.0)</f>
        <v>14</v>
      </c>
      <c r="E11" s="147" t="str">
        <f>IFERROR(__xludf.DUMMYFUNCTION("""COMPUTED_VALUE"""),"https://scholar.google.com/citations?hl=en&amp;view_op=list_hcore&amp;venue=jyopF_8JEZIJ.2024")</f>
        <v>https://scholar.google.com/citations?hl=en&amp;view_op=list_hcore&amp;venue=jyopF_8JEZIJ.2024</v>
      </c>
      <c r="I11" s="60" t="str">
        <f>IFERROR(__xludf.DUMMYFUNCTION("""COMPUTED_VALUE"""),"https://dblp.org/db/conf/ihc/index.html")</f>
        <v>https://dblp.org/db/conf/ihc/index.html</v>
      </c>
      <c r="J11" s="60" t="str">
        <f>IFERROR(__xludf.DUMMYFUNCTION("""COMPUTED_VALUE"""),"https://sol.sbc.org.br/index.php/ihc")</f>
        <v>https://sol.sbc.org.br/index.php/ihc</v>
      </c>
    </row>
    <row r="12">
      <c r="A12" s="65" t="str">
        <f>IFERROR(__xludf.DUMMYFUNCTION("""COMPUTED_VALUE"""),"Top 20")</f>
        <v>Top 20</v>
      </c>
      <c r="B12" t="str">
        <f>IFERROR(__xludf.DUMMYFUNCTION("""COMPUTED_VALUE"""),"HRI")</f>
        <v>HRI</v>
      </c>
      <c r="C12" t="str">
        <f>IFERROR(__xludf.DUMMYFUNCTION("""COMPUTED_VALUE"""),"ACM International Conference on Human Robot Interaction")</f>
        <v>ACM International Conference on Human Robot Interaction</v>
      </c>
      <c r="D12">
        <f>IFERROR(__xludf.DUMMYFUNCTION("""COMPUTED_VALUE"""),54.0)</f>
        <v>54</v>
      </c>
      <c r="E12" s="147" t="str">
        <f>IFERROR(__xludf.DUMMYFUNCTION("""COMPUTED_VALUE"""),"https://scholar.google.com/citations?hl=en&amp;view_op=list_hcore&amp;venue=ywdGSlWdBhkJ.2024")</f>
        <v>https://scholar.google.com/citations?hl=en&amp;view_op=list_hcore&amp;venue=ywdGSlWdBhkJ.2024</v>
      </c>
      <c r="I12" s="60" t="str">
        <f>IFERROR(__xludf.DUMMYFUNCTION("""COMPUTED_VALUE"""),"https://dblp.org/db/conf/hri/index.html")</f>
        <v>https://dblp.org/db/conf/hri/index.html</v>
      </c>
    </row>
    <row r="13">
      <c r="A13" s="65" t="str">
        <f>IFERROR(__xludf.DUMMYFUNCTION("""COMPUTED_VALUE"""),"Top 20")</f>
        <v>Top 20</v>
      </c>
      <c r="B13" t="str">
        <f>IFERROR(__xludf.DUMMYFUNCTION("""COMPUTED_VALUE"""),"ICMI")</f>
        <v>ICMI</v>
      </c>
      <c r="C13" t="str">
        <f>IFERROR(__xludf.DUMMYFUNCTION("""COMPUTED_VALUE"""),"ACM International Conference on Multimodal Interfaces")</f>
        <v>ACM International Conference on Multimodal Interfaces</v>
      </c>
      <c r="D13">
        <f>IFERROR(__xludf.DUMMYFUNCTION("""COMPUTED_VALUE"""),31.0)</f>
        <v>31</v>
      </c>
      <c r="E13" s="147" t="str">
        <f>IFERROR(__xludf.DUMMYFUNCTION("""COMPUTED_VALUE"""),"https://scholar.google.com/citations?hl=en&amp;vq=eng_humancomputerinteraction&amp;view_op=list_hcore&amp;venue=FeNM07eYolwJ.2024")</f>
        <v>https://scholar.google.com/citations?hl=en&amp;vq=eng_humancomputerinteraction&amp;view_op=list_hcore&amp;venue=FeNM07eYolwJ.2024</v>
      </c>
      <c r="I13" s="60" t="str">
        <f>IFERROR(__xludf.DUMMYFUNCTION("""COMPUTED_VALUE"""),"https://dblp.org/db/conf/icmi/index.html")</f>
        <v>https://dblp.org/db/conf/icmi/index.html</v>
      </c>
    </row>
    <row r="14">
      <c r="A14" s="65" t="str">
        <f>IFERROR(__xludf.DUMMYFUNCTION("""COMPUTED_VALUE"""),"Top 20")</f>
        <v>Top 20</v>
      </c>
      <c r="B14" t="str">
        <f>IFERROR(__xludf.DUMMYFUNCTION("""COMPUTED_VALUE"""),"RO-MAN")</f>
        <v>RO-MAN</v>
      </c>
      <c r="C14" t="str">
        <f>IFERROR(__xludf.DUMMYFUNCTION("""COMPUTED_VALUE"""),"IEEE International Symposium on Robot and Human Interactive Communication")</f>
        <v>IEEE International Symposium on Robot and Human Interactive Communication</v>
      </c>
      <c r="D14">
        <f>IFERROR(__xludf.DUMMYFUNCTION("""COMPUTED_VALUE"""),31.0)</f>
        <v>31</v>
      </c>
      <c r="E14" s="147" t="str">
        <f>IFERROR(__xludf.DUMMYFUNCTION("""COMPUTED_VALUE"""),"https://scholar.google.com/citations?hl=en&amp;view_op=list_hcore&amp;venue=yHxohuW00noJ.2024")</f>
        <v>https://scholar.google.com/citations?hl=en&amp;view_op=list_hcore&amp;venue=yHxohuW00noJ.2024</v>
      </c>
      <c r="I14" s="60" t="str">
        <f>IFERROR(__xludf.DUMMYFUNCTION("""COMPUTED_VALUE"""),"https://dblp.org/db/conf/ro-man/index.html")</f>
        <v>https://dblp.org/db/conf/ro-man/index.html</v>
      </c>
    </row>
    <row r="15">
      <c r="A15" s="65" t="str">
        <f>IFERROR(__xludf.DUMMYFUNCTION("""COMPUTED_VALUE"""),"Top 20")</f>
        <v>Top 20</v>
      </c>
      <c r="B15" t="str">
        <f>IFERROR(__xludf.DUMMYFUNCTION("""COMPUTED_VALUE"""),"ACM CHI PLAY")</f>
        <v>ACM CHI PLAY</v>
      </c>
      <c r="C15" t="str">
        <f>IFERROR(__xludf.DUMMYFUNCTION("""COMPUTED_VALUE"""),"ACM SIGCHI Annual Symposium on Computer-Human Interaction in Play")</f>
        <v>ACM SIGCHI Annual Symposium on Computer-Human Interaction in Play</v>
      </c>
      <c r="D15">
        <f>IFERROR(__xludf.DUMMYFUNCTION("""COMPUTED_VALUE"""),31.0)</f>
        <v>31</v>
      </c>
      <c r="E15" s="147" t="str">
        <f>IFERROR(__xludf.DUMMYFUNCTION("""COMPUTED_VALUE"""),"https://scholar.google.com/citations?hl=en&amp;view_op=list_hcore&amp;venue=WNLxUj5tg3gJ.2024")</f>
        <v>https://scholar.google.com/citations?hl=en&amp;view_op=list_hcore&amp;venue=WNLxUj5tg3gJ.2024</v>
      </c>
      <c r="I15" s="60" t="str">
        <f>IFERROR(__xludf.DUMMYFUNCTION("""COMPUTED_VALUE"""),"https://dblp.org/db/conf/chiplay/index.html")</f>
        <v>https://dblp.org/db/conf/chiplay/index.html</v>
      </c>
    </row>
    <row r="16">
      <c r="A16" s="65" t="str">
        <f>IFERROR(__xludf.DUMMYFUNCTION("""COMPUTED_VALUE"""),"Top 20")</f>
        <v>Top 20</v>
      </c>
      <c r="B16" t="str">
        <f>IFERROR(__xludf.DUMMYFUNCTION("""COMPUTED_VALUE"""),"TEI")</f>
        <v>TEI</v>
      </c>
      <c r="C16" t="str">
        <f>IFERROR(__xludf.DUMMYFUNCTION("""COMPUTED_VALUE"""),"ACM International Conference on Tangible, Embedded and Embodied Interactions")</f>
        <v>ACM International Conference on Tangible, Embedded and Embodied Interactions</v>
      </c>
      <c r="D16">
        <f>IFERROR(__xludf.DUMMYFUNCTION("""COMPUTED_VALUE"""),27.0)</f>
        <v>27</v>
      </c>
      <c r="E16" s="147" t="str">
        <f>IFERROR(__xludf.DUMMYFUNCTION("""COMPUTED_VALUE"""),"https://scholar.google.com/citations?hl=en&amp;vq=eng_humancomputerinteraction&amp;view_op=list_hcore&amp;venue=KRPnqF5qBUgJ.2024")</f>
        <v>https://scholar.google.com/citations?hl=en&amp;vq=eng_humancomputerinteraction&amp;view_op=list_hcore&amp;venue=KRPnqF5qBUgJ.2024</v>
      </c>
      <c r="I16" s="60" t="str">
        <f>IFERROR(__xludf.DUMMYFUNCTION("""COMPUTED_VALUE"""),"https://dblp.org/db/conf/tei/index.html")</f>
        <v>https://dblp.org/db/conf/tei/index.html</v>
      </c>
    </row>
    <row r="17">
      <c r="A17" s="65" t="str">
        <f>IFERROR(__xludf.DUMMYFUNCTION("""COMPUTED_VALUE"""),"Top 20")</f>
        <v>Top 20</v>
      </c>
      <c r="B17" t="str">
        <f>IFERROR(__xludf.DUMMYFUNCTION("""COMPUTED_VALUE"""),"CSCW")</f>
        <v>CSCW</v>
      </c>
      <c r="C17" t="str">
        <f>IFERROR(__xludf.DUMMYFUNCTION("""COMPUTED_VALUE"""),"Conference on Computer Supported Cooperative Work")</f>
        <v>Conference on Computer Supported Cooperative Work</v>
      </c>
      <c r="D17">
        <f>IFERROR(__xludf.DUMMYFUNCTION("""COMPUTED_VALUE"""),24.0)</f>
        <v>24</v>
      </c>
      <c r="E17" s="147" t="str">
        <f>IFERROR(__xludf.DUMMYFUNCTION("""COMPUTED_VALUE"""),"https://scholar.google.com/citations?hl=en&amp;vq=eng_humancomputerinteraction&amp;view_op=list_hcore&amp;venue=kXowlNFROIgJ.2024")</f>
        <v>https://scholar.google.com/citations?hl=en&amp;vq=eng_humancomputerinteraction&amp;view_op=list_hcore&amp;venue=kXowlNFROIgJ.2024</v>
      </c>
      <c r="G17" t="str">
        <f>IFERROR(__xludf.DUMMYFUNCTION("""COMPUTED_VALUE"""),"ACM Conference on Computer-Supported Cooperative Work &amp; Social Computing")</f>
        <v>ACM Conference on Computer-Supported Cooperative Work &amp; Social Computing</v>
      </c>
      <c r="I17" s="60" t="str">
        <f>IFERROR(__xludf.DUMMYFUNCTION("""COMPUTED_VALUE"""),"https://dblp.org/db/conf/cscw/index.html")</f>
        <v>https://dblp.org/db/conf/cscw/index.html</v>
      </c>
    </row>
    <row r="18">
      <c r="A18" s="65" t="str">
        <f>IFERROR(__xludf.DUMMYFUNCTION("""COMPUTED_VALUE"""),"Top 20")</f>
        <v>Top 20</v>
      </c>
      <c r="B18" t="str">
        <f>IFERROR(__xludf.DUMMYFUNCTION("""COMPUTED_VALUE"""),"PDC")</f>
        <v>PDC</v>
      </c>
      <c r="C18" t="str">
        <f>IFERROR(__xludf.DUMMYFUNCTION("""COMPUTED_VALUE"""),"Participatory Design Conference")</f>
        <v>Participatory Design Conference</v>
      </c>
      <c r="D18">
        <f>IFERROR(__xludf.DUMMYFUNCTION("""COMPUTED_VALUE"""),19.0)</f>
        <v>19</v>
      </c>
      <c r="E18" s="147" t="str">
        <f>IFERROR(__xludf.DUMMYFUNCTION("""COMPUTED_VALUE"""),"https://scholar.google.com/citations?hl=en&amp;view_op=list_hcore&amp;venue=-nBNAaWmWB0J.2024")</f>
        <v>https://scholar.google.com/citations?hl=en&amp;view_op=list_hcore&amp;venue=-nBNAaWmWB0J.2024</v>
      </c>
      <c r="I18" s="60" t="str">
        <f>IFERROR(__xludf.DUMMYFUNCTION("""COMPUTED_VALUE"""),"https://dblp.org/db/conf/pdc/index.html")</f>
        <v>https://dblp.org/db/conf/pdc/index.html</v>
      </c>
    </row>
    <row r="19">
      <c r="A19" s="65" t="str">
        <f>IFERROR(__xludf.DUMMYFUNCTION("""COMPUTED_VALUE"""),"Top 20")</f>
        <v>Top 20</v>
      </c>
      <c r="B19" t="str">
        <f>IFERROR(__xludf.DUMMYFUNCTION("""COMPUTED_VALUE"""),"OzCHI")</f>
        <v>OzCHI</v>
      </c>
      <c r="C19" t="str">
        <f>IFERROR(__xludf.DUMMYFUNCTION("""COMPUTED_VALUE"""),"Australasian Computer-Human Interaction Conference")</f>
        <v>Australasian Computer-Human Interaction Conference</v>
      </c>
      <c r="D19">
        <f>IFERROR(__xludf.DUMMYFUNCTION("""COMPUTED_VALUE"""),18.0)</f>
        <v>18</v>
      </c>
      <c r="E19" s="147" t="str">
        <f>IFERROR(__xludf.DUMMYFUNCTION("""COMPUTED_VALUE"""),"https://scholar.google.com/citations?hl=en&amp;view_op=list_hcore&amp;venue=OZvZzNUF9W0J.2024")</f>
        <v>https://scholar.google.com/citations?hl=en&amp;view_op=list_hcore&amp;venue=OZvZzNUF9W0J.2024</v>
      </c>
      <c r="I19" s="60" t="str">
        <f>IFERROR(__xludf.DUMMYFUNCTION("""COMPUTED_VALUE"""),"https://dblp.org/db/conf/ozchi/index.html")</f>
        <v>https://dblp.org/db/conf/ozchi/index.html</v>
      </c>
    </row>
    <row r="20">
      <c r="A20" s="65" t="str">
        <f>IFERROR(__xludf.DUMMYFUNCTION("""COMPUTED_VALUE"""),"Top 20")</f>
        <v>Top 20</v>
      </c>
      <c r="B20" t="str">
        <f>IFERROR(__xludf.DUMMYFUNCTION("""COMPUTED_VALUE"""),"CSCWD")</f>
        <v>CSCWD</v>
      </c>
      <c r="C20" t="str">
        <f>IFERROR(__xludf.DUMMYFUNCTION("""COMPUTED_VALUE"""),"IEEE International Conference on Computer Supported Cooperative Work in Design")</f>
        <v>IEEE International Conference on Computer Supported Cooperative Work in Design</v>
      </c>
      <c r="D20">
        <f>IFERROR(__xludf.DUMMYFUNCTION("""COMPUTED_VALUE"""),17.0)</f>
        <v>17</v>
      </c>
      <c r="E20" s="147" t="str">
        <f>IFERROR(__xludf.DUMMYFUNCTION("""COMPUTED_VALUE"""),"https://scholar.google.com.br/citations?hl=pt-BR&amp;view_op=list_hcore&amp;venue=sdDHdOPrCVwJ.2024")</f>
        <v>https://scholar.google.com.br/citations?hl=pt-BR&amp;view_op=list_hcore&amp;venue=sdDHdOPrCVwJ.2024</v>
      </c>
      <c r="I20" s="60" t="str">
        <f>IFERROR(__xludf.DUMMYFUNCTION("""COMPUTED_VALUE"""),"https://dblp.org/db/conf/cscwd/index.html")</f>
        <v>https://dblp.org/db/conf/cscwd/index.html</v>
      </c>
    </row>
    <row r="21">
      <c r="A21" s="65" t="str">
        <f>IFERROR(__xludf.DUMMYFUNCTION("""COMPUTED_VALUE"""),"Top 20")</f>
        <v>Top 20</v>
      </c>
      <c r="B21" t="str">
        <f>IFERROR(__xludf.DUMMYFUNCTION("""COMPUTED_VALUE"""),"EICS")</f>
        <v>EICS</v>
      </c>
      <c r="C21" t="str">
        <f>IFERROR(__xludf.DUMMYFUNCTION("""COMPUTED_VALUE"""),"Engineering Interactive Computing Systems")</f>
        <v>Engineering Interactive Computing Systems</v>
      </c>
      <c r="D21">
        <f>IFERROR(__xludf.DUMMYFUNCTION("""COMPUTED_VALUE"""),13.0)</f>
        <v>13</v>
      </c>
      <c r="E21" s="147" t="str">
        <f>IFERROR(__xludf.DUMMYFUNCTION("""COMPUTED_VALUE"""),"https://scholar.google.com/scholar?hl=pt-BR&amp;as_sdt=0%2C5&amp;as_ylo=2020&amp;as_yhi=2024&amp;q=%22Engineering+Interactive+Computing+Systems%22&amp;btnG= / https://scholar.google.com/citations?hl=en&amp;view_op=list_hcore&amp;venue=8ZzKUGSn8EwJ.2023")</f>
        <v>https://scholar.google.com/scholar?hl=pt-BR&amp;as_sdt=0%2C5&amp;as_ylo=2020&amp;as_yhi=2024&amp;q=%22Engineering+Interactive+Computing+Systems%22&amp;btnG= / https://scholar.google.com/citations?hl=en&amp;view_op=list_hcore&amp;venue=8ZzKUGSn8EwJ.2023</v>
      </c>
      <c r="G21" t="str">
        <f>IFERROR(__xludf.DUMMYFUNCTION("""COMPUTED_VALUE"""),"ACM SIGCHI Symposium on Engineering Interactive Computing Systems")</f>
        <v>ACM SIGCHI Symposium on Engineering Interactive Computing Systems</v>
      </c>
      <c r="I21" s="60" t="str">
        <f>IFERROR(__xludf.DUMMYFUNCTION("""COMPUTED_VALUE"""),"https://dblp.org/db/conf/eics/index.html")</f>
        <v>https://dblp.org/db/conf/eics/index.html</v>
      </c>
    </row>
    <row r="22">
      <c r="A22" s="68" t="str">
        <f>IFERROR(__xludf.DUMMYFUNCTION("""COMPUTED_VALUE"""),"Eventos da Área")</f>
        <v>Eventos da Área</v>
      </c>
      <c r="B22" t="str">
        <f>IFERROR(__xludf.DUMMYFUNCTION("""COMPUTED_VALUE"""),"HICSS")</f>
        <v>HICSS</v>
      </c>
      <c r="C22" t="str">
        <f>IFERROR(__xludf.DUMMYFUNCTION("""COMPUTED_VALUE"""),"Hawaii International Conference on System Sciences")</f>
        <v>Hawaii International Conference on System Sciences</v>
      </c>
      <c r="D22">
        <f>IFERROR(__xludf.DUMMYFUNCTION("""COMPUTED_VALUE"""),56.0)</f>
        <v>56</v>
      </c>
      <c r="E22" s="147" t="str">
        <f>IFERROR(__xludf.DUMMYFUNCTION("""COMPUTED_VALUE"""),"https://scholar.google.com/citations?hl=en&amp;view_op=list_hcore&amp;venue=6wBd043QhTIJ.2024")</f>
        <v>https://scholar.google.com/citations?hl=en&amp;view_op=list_hcore&amp;venue=6wBd043QhTIJ.2024</v>
      </c>
      <c r="I22" s="60" t="str">
        <f>IFERROR(__xludf.DUMMYFUNCTION("""COMPUTED_VALUE"""),"https://dblp.org/db/conf/hicss/index.html")</f>
        <v>https://dblp.org/db/conf/hicss/index.html</v>
      </c>
    </row>
    <row r="23">
      <c r="A23" s="68" t="str">
        <f>IFERROR(__xludf.DUMMYFUNCTION("""COMPUTED_VALUE"""),"Eventos da Área")</f>
        <v>Eventos da Área</v>
      </c>
      <c r="B23" t="str">
        <f>IFERROR(__xludf.DUMMYFUNCTION("""COMPUTED_VALUE"""),"Recsys")</f>
        <v>Recsys</v>
      </c>
      <c r="C23" t="str">
        <f>IFERROR(__xludf.DUMMYFUNCTION("""COMPUTED_VALUE"""),"ACM Conference on Recommender Systems")</f>
        <v>ACM Conference on Recommender Systems</v>
      </c>
      <c r="D23">
        <f>IFERROR(__xludf.DUMMYFUNCTION("""COMPUTED_VALUE"""),53.0)</f>
        <v>53</v>
      </c>
      <c r="E23" s="147" t="str">
        <f>IFERROR(__xludf.DUMMYFUNCTION("""COMPUTED_VALUE"""),"https://scholar.google.com/citations?hl=en&amp;view_op=list_hcore&amp;venue=4-w_STT7RmEJ.2024")</f>
        <v>https://scholar.google.com/citations?hl=en&amp;view_op=list_hcore&amp;venue=4-w_STT7RmEJ.2024</v>
      </c>
      <c r="I23" s="60" t="str">
        <f>IFERROR(__xludf.DUMMYFUNCTION("""COMPUTED_VALUE"""),"https://dblp.org/db/conf/recsys/index.html")</f>
        <v>https://dblp.org/db/conf/recsys/index.html</v>
      </c>
    </row>
    <row r="24">
      <c r="A24" s="68" t="str">
        <f>IFERROR(__xludf.DUMMYFUNCTION("""COMPUTED_VALUE"""),"Eventos da Área")</f>
        <v>Eventos da Área</v>
      </c>
      <c r="B24" t="str">
        <f>IFERROR(__xludf.DUMMYFUNCTION("""COMPUTED_VALUE"""),"HCII")</f>
        <v>HCII</v>
      </c>
      <c r="C24" t="str">
        <f>IFERROR(__xludf.DUMMYFUNCTION("""COMPUTED_VALUE"""),"International Conference on Human-Computer Interaction")</f>
        <v>International Conference on Human-Computer Interaction</v>
      </c>
      <c r="D24">
        <f>IFERROR(__xludf.DUMMYFUNCTION("""COMPUTED_VALUE"""),41.0)</f>
        <v>41</v>
      </c>
      <c r="E24" s="147" t="str">
        <f>IFERROR(__xludf.DUMMYFUNCTION("""COMPUTED_VALUE"""),"https://scholar.google.com/citations?hl=en&amp;vq=eng_humancomputerinteraction&amp;view_op=list_hcore&amp;venue=v05i1s2aH5wJ.2024")</f>
        <v>https://scholar.google.com/citations?hl=en&amp;vq=eng_humancomputerinteraction&amp;view_op=list_hcore&amp;venue=v05i1s2aH5wJ.2024</v>
      </c>
      <c r="I24" s="60" t="str">
        <f>IFERROR(__xludf.DUMMYFUNCTION("""COMPUTED_VALUE"""),"https://dblp.org/db/conf/hci/index.html")</f>
        <v>https://dblp.org/db/conf/hci/index.html</v>
      </c>
    </row>
    <row r="25">
      <c r="A25" s="68" t="str">
        <f>IFERROR(__xludf.DUMMYFUNCTION("""COMPUTED_VALUE"""),"Eventos da Área")</f>
        <v>Eventos da Área</v>
      </c>
      <c r="B25" t="str">
        <f>IFERROR(__xludf.DUMMYFUNCTION("""COMPUTED_VALUE"""),"SAC")</f>
        <v>SAC</v>
      </c>
      <c r="C25" t="str">
        <f>IFERROR(__xludf.DUMMYFUNCTION("""COMPUTED_VALUE"""),"ACM Symposium on Applied Computing")</f>
        <v>ACM Symposium on Applied Computing</v>
      </c>
      <c r="D25">
        <f>IFERROR(__xludf.DUMMYFUNCTION("""COMPUTED_VALUE"""),36.0)</f>
        <v>36</v>
      </c>
      <c r="E25" s="147" t="str">
        <f>IFERROR(__xludf.DUMMYFUNCTION("""COMPUTED_VALUE"""),"https://scholar.google.com/citations?hl=en&amp;view_op=list_hcore&amp;venue=eLhWa3qzEDsJ.2024")</f>
        <v>https://scholar.google.com/citations?hl=en&amp;view_op=list_hcore&amp;venue=eLhWa3qzEDsJ.2024</v>
      </c>
      <c r="I25" s="60" t="str">
        <f>IFERROR(__xludf.DUMMYFUNCTION("""COMPUTED_VALUE"""),"https://dblp.org/db/conf/sac/index.html")</f>
        <v>https://dblp.org/db/conf/sac/index.html</v>
      </c>
    </row>
    <row r="26">
      <c r="A26" s="68" t="str">
        <f>IFERROR(__xludf.DUMMYFUNCTION("""COMPUTED_VALUE"""),"Eventos da Área")</f>
        <v>Eventos da Área</v>
      </c>
      <c r="B26" t="str">
        <f>IFERROR(__xludf.DUMMYFUNCTION("""COMPUTED_VALUE"""),"ISMAR")</f>
        <v>ISMAR</v>
      </c>
      <c r="C26" t="str">
        <f>IFERROR(__xludf.DUMMYFUNCTION("""COMPUTED_VALUE"""),"IEEE International Symposium on Mixed and Augmented Reality")</f>
        <v>IEEE International Symposium on Mixed and Augmented Reality</v>
      </c>
      <c r="D26">
        <f>IFERROR(__xludf.DUMMYFUNCTION("""COMPUTED_VALUE"""),35.0)</f>
        <v>35</v>
      </c>
      <c r="E26" s="147" t="str">
        <f>IFERROR(__xludf.DUMMYFUNCTION("""COMPUTED_VALUE"""),"https://scholar.google.com/citations?hl=en&amp;view_op=list_hcore&amp;venue=saKKhfQeF-MJ.2024")</f>
        <v>https://scholar.google.com/citations?hl=en&amp;view_op=list_hcore&amp;venue=saKKhfQeF-MJ.2024</v>
      </c>
      <c r="I26" s="60" t="str">
        <f>IFERROR(__xludf.DUMMYFUNCTION("""COMPUTED_VALUE"""),"https://dblp.org/db/conf/ismar/index.html")</f>
        <v>https://dblp.org/db/conf/ismar/index.html</v>
      </c>
    </row>
    <row r="27">
      <c r="A27" s="68" t="str">
        <f>IFERROR(__xludf.DUMMYFUNCTION("""COMPUTED_VALUE"""),"Eventos da Área")</f>
        <v>Eventos da Área</v>
      </c>
      <c r="B27" t="str">
        <f>IFERROR(__xludf.DUMMYFUNCTION("""COMPUTED_VALUE"""),"UMAP")</f>
        <v>UMAP</v>
      </c>
      <c r="C27" t="str">
        <f>IFERROR(__xludf.DUMMYFUNCTION("""COMPUTED_VALUE"""),"User Modeling, Adaptation and Personalization Conference")</f>
        <v>User Modeling, Adaptation and Personalization Conference</v>
      </c>
      <c r="D27">
        <f>IFERROR(__xludf.DUMMYFUNCTION("""COMPUTED_VALUE"""),31.0)</f>
        <v>31</v>
      </c>
      <c r="E27" s="147" t="str">
        <f>IFERROR(__xludf.DUMMYFUNCTION("""COMPUTED_VALUE"""),"https://scholar.google.com/citations?hl=en&amp;view_op=list_hcore&amp;venue=jtXTIwcBWV8J.2024")</f>
        <v>https://scholar.google.com/citations?hl=en&amp;view_op=list_hcore&amp;venue=jtXTIwcBWV8J.2024</v>
      </c>
      <c r="I27" s="60" t="str">
        <f>IFERROR(__xludf.DUMMYFUNCTION("""COMPUTED_VALUE"""),"https://dblp.org/db/conf/um/index.html")</f>
        <v>https://dblp.org/db/conf/um/index.html</v>
      </c>
    </row>
    <row r="28">
      <c r="A28" s="68" t="str">
        <f>IFERROR(__xludf.DUMMYFUNCTION("""COMPUTED_VALUE"""),"Eventos da Área")</f>
        <v>Eventos da Área</v>
      </c>
      <c r="B28" t="str">
        <f>IFERROR(__xludf.DUMMYFUNCTION("""COMPUTED_VALUE"""),"AIED")</f>
        <v>AIED</v>
      </c>
      <c r="C28" t="str">
        <f>IFERROR(__xludf.DUMMYFUNCTION("""COMPUTED_VALUE"""),"Artificial Intelligence in Education")</f>
        <v>Artificial Intelligence in Education</v>
      </c>
      <c r="D28">
        <f>IFERROR(__xludf.DUMMYFUNCTION("""COMPUTED_VALUE"""),31.0)</f>
        <v>31</v>
      </c>
      <c r="E28" s="147" t="str">
        <f>IFERROR(__xludf.DUMMYFUNCTION("""COMPUTED_VALUE"""),"https://scholar.google.com/citations?hl=en&amp;view_op=list_hcore&amp;venue=l2Fh9zgyJ3sJ.2024")</f>
        <v>https://scholar.google.com/citations?hl=en&amp;view_op=list_hcore&amp;venue=l2Fh9zgyJ3sJ.2024</v>
      </c>
      <c r="I28" s="60" t="str">
        <f>IFERROR(__xludf.DUMMYFUNCTION("""COMPUTED_VALUE"""),"https://dblp.org/db/conf/aied/index.html")</f>
        <v>https://dblp.org/db/conf/aied/index.html</v>
      </c>
    </row>
    <row r="29">
      <c r="A29" s="68" t="str">
        <f>IFERROR(__xludf.DUMMYFUNCTION("""COMPUTED_VALUE"""),"Eventos da Área")</f>
        <v>Eventos da Área</v>
      </c>
      <c r="B29" t="str">
        <f>IFERROR(__xludf.DUMMYFUNCTION("""COMPUTED_VALUE"""),"ICMI")</f>
        <v>ICMI</v>
      </c>
      <c r="C29" t="str">
        <f>IFERROR(__xludf.DUMMYFUNCTION("""COMPUTED_VALUE"""),"ACM International Conference on Multimodal Interaction")</f>
        <v>ACM International Conference on Multimodal Interaction</v>
      </c>
      <c r="D29">
        <f>IFERROR(__xludf.DUMMYFUNCTION("""COMPUTED_VALUE"""),31.0)</f>
        <v>31</v>
      </c>
      <c r="E29" s="147" t="str">
        <f>IFERROR(__xludf.DUMMYFUNCTION("""COMPUTED_VALUE"""),"https://scholar.google.com.br/citations?hl=pt-BR&amp;view_op=list_hcore&amp;venue=FeNM07eYolwJ.2024")</f>
        <v>https://scholar.google.com.br/citations?hl=pt-BR&amp;view_op=list_hcore&amp;venue=FeNM07eYolwJ.2024</v>
      </c>
      <c r="I29" s="60" t="str">
        <f>IFERROR(__xludf.DUMMYFUNCTION("""COMPUTED_VALUE"""),"https://dblp.org/db/conf/icmi/index.html")</f>
        <v>https://dblp.org/db/conf/icmi/index.html</v>
      </c>
    </row>
    <row r="30">
      <c r="A30" s="68" t="str">
        <f>IFERROR(__xludf.DUMMYFUNCTION("""COMPUTED_VALUE"""),"Eventos da Área")</f>
        <v>Eventos da Área</v>
      </c>
      <c r="B30" t="str">
        <f>IFERROR(__xludf.DUMMYFUNCTION("""COMPUTED_VALUE"""),"ACII")</f>
        <v>ACII</v>
      </c>
      <c r="C30" t="str">
        <f>IFERROR(__xludf.DUMMYFUNCTION("""COMPUTED_VALUE"""),"Affective Computing and Intelligent Interaction")</f>
        <v>Affective Computing and Intelligent Interaction</v>
      </c>
      <c r="D30">
        <f>IFERROR(__xludf.DUMMYFUNCTION("""COMPUTED_VALUE"""),30.0)</f>
        <v>30</v>
      </c>
      <c r="E30" s="147" t="str">
        <f>IFERROR(__xludf.DUMMYFUNCTION("""COMPUTED_VALUE"""),"https://scholar.google.com/citations?hl=en&amp;view_op=list_hcore&amp;venue=n8TWwN8Kc5cJ.2024")</f>
        <v>https://scholar.google.com/citations?hl=en&amp;view_op=list_hcore&amp;venue=n8TWwN8Kc5cJ.2024</v>
      </c>
      <c r="I30" s="60" t="str">
        <f>IFERROR(__xludf.DUMMYFUNCTION("""COMPUTED_VALUE"""),"https://dblp.org/db/conf/acii/index.html")</f>
        <v>https://dblp.org/db/conf/acii/index.html</v>
      </c>
    </row>
    <row r="31">
      <c r="A31" s="68" t="str">
        <f>IFERROR(__xludf.DUMMYFUNCTION("""COMPUTED_VALUE"""),"Eventos da Área")</f>
        <v>Eventos da Área</v>
      </c>
      <c r="B31" t="str">
        <f>IFERROR(__xludf.DUMMYFUNCTION("""COMPUTED_VALUE"""),"COMPSAC")</f>
        <v>COMPSAC</v>
      </c>
      <c r="C31" t="str">
        <f>IFERROR(__xludf.DUMMYFUNCTION("""COMPUTED_VALUE"""),"Annual International Computers, Software &amp; Applications Conference")</f>
        <v>Annual International Computers, Software &amp; Applications Conference</v>
      </c>
      <c r="D31">
        <f>IFERROR(__xludf.DUMMYFUNCTION("""COMPUTED_VALUE"""),29.0)</f>
        <v>29</v>
      </c>
      <c r="E31" s="147" t="str">
        <f>IFERROR(__xludf.DUMMYFUNCTION("""COMPUTED_VALUE"""),"https://scholar.google.com/citations?hl=en&amp;view_op=list_hcore&amp;venue=VV1RRR7eju4J.2024")</f>
        <v>https://scholar.google.com/citations?hl=en&amp;view_op=list_hcore&amp;venue=VV1RRR7eju4J.2024</v>
      </c>
      <c r="I31" s="60" t="str">
        <f>IFERROR(__xludf.DUMMYFUNCTION("""COMPUTED_VALUE"""),"https://dblp.org/db/conf/compsac/index.html")</f>
        <v>https://dblp.org/db/conf/compsac/index.html</v>
      </c>
    </row>
    <row r="32">
      <c r="A32" s="68" t="str">
        <f>IFERROR(__xludf.DUMMYFUNCTION("""COMPUTED_VALUE"""),"Eventos da Área")</f>
        <v>Eventos da Área</v>
      </c>
      <c r="B32" t="str">
        <f>IFERROR(__xludf.DUMMYFUNCTION("""COMPUTED_VALUE"""),"MMSYS")</f>
        <v>MMSYS</v>
      </c>
      <c r="C32" t="str">
        <f>IFERROR(__xludf.DUMMYFUNCTION("""COMPUTED_VALUE"""),"ACM Multimedia Systems Conference")</f>
        <v>ACM Multimedia Systems Conference</v>
      </c>
      <c r="D32">
        <f>IFERROR(__xludf.DUMMYFUNCTION("""COMPUTED_VALUE"""),28.0)</f>
        <v>28</v>
      </c>
      <c r="E32" s="147" t="str">
        <f>IFERROR(__xludf.DUMMYFUNCTION("""COMPUTED_VALUE"""),"https://scholar.google.com/citations?hl=en&amp;view_op=list_hcore&amp;venue=iRTf4ImdsEQJ.2024")</f>
        <v>https://scholar.google.com/citations?hl=en&amp;view_op=list_hcore&amp;venue=iRTf4ImdsEQJ.2024</v>
      </c>
      <c r="I32" s="60" t="str">
        <f>IFERROR(__xludf.DUMMYFUNCTION("""COMPUTED_VALUE"""),"https://dblp.org/db/conf/mmsys/index.html")</f>
        <v>https://dblp.org/db/conf/mmsys/index.html</v>
      </c>
    </row>
    <row r="33">
      <c r="A33" s="68" t="str">
        <f>IFERROR(__xludf.DUMMYFUNCTION("""COMPUTED_VALUE"""),"Eventos da Área")</f>
        <v>Eventos da Área</v>
      </c>
      <c r="B33" t="str">
        <f>IFERROR(__xludf.DUMMYFUNCTION("""COMPUTED_VALUE"""),"Ubicomp")</f>
        <v>Ubicomp</v>
      </c>
      <c r="C33" t="str">
        <f>IFERROR(__xludf.DUMMYFUNCTION("""COMPUTED_VALUE"""),"ACM Conference on Pervasive and Ubiquitous Computing")</f>
        <v>ACM Conference on Pervasive and Ubiquitous Computing</v>
      </c>
      <c r="D33">
        <f>IFERROR(__xludf.DUMMYFUNCTION("""COMPUTED_VALUE"""),27.0)</f>
        <v>27</v>
      </c>
      <c r="E33" s="147" t="str">
        <f>IFERROR(__xludf.DUMMYFUNCTION("""COMPUTED_VALUE"""),"https://scholar.google.com/citations?hl=en&amp;vq=eng_humancomputerinteraction&amp;view_op=list_hcore&amp;venue=K6EHRjh8bWIJ.2024")</f>
        <v>https://scholar.google.com/citations?hl=en&amp;vq=eng_humancomputerinteraction&amp;view_op=list_hcore&amp;venue=K6EHRjh8bWIJ.2024</v>
      </c>
      <c r="I33" s="60" t="str">
        <f>IFERROR(__xludf.DUMMYFUNCTION("""COMPUTED_VALUE"""),"https://dblp.org/db/conf/huc/index.html")</f>
        <v>https://dblp.org/db/conf/huc/index.html</v>
      </c>
    </row>
    <row r="34">
      <c r="A34" s="68" t="str">
        <f>IFERROR(__xludf.DUMMYFUNCTION("""COMPUTED_VALUE"""),"Eventos da Área")</f>
        <v>Eventos da Área</v>
      </c>
      <c r="B34" t="str">
        <f>IFERROR(__xludf.DUMMYFUNCTION("""COMPUTED_VALUE"""),"VRST")</f>
        <v>VRST</v>
      </c>
      <c r="C34" t="str">
        <f>IFERROR(__xludf.DUMMYFUNCTION("""COMPUTED_VALUE"""),"ACM Symposium on Virtual Reality Software and Technology")</f>
        <v>ACM Symposium on Virtual Reality Software and Technology</v>
      </c>
      <c r="D34">
        <f>IFERROR(__xludf.DUMMYFUNCTION("""COMPUTED_VALUE"""),26.0)</f>
        <v>26</v>
      </c>
      <c r="E34" s="147" t="str">
        <f>IFERROR(__xludf.DUMMYFUNCTION("""COMPUTED_VALUE"""),"https://scholar.google.com/citations?hl=en&amp;view_op=list_hcore&amp;venue=QFdzrecfz8sJ.2024")</f>
        <v>https://scholar.google.com/citations?hl=en&amp;view_op=list_hcore&amp;venue=QFdzrecfz8sJ.2024</v>
      </c>
      <c r="I34" s="60" t="str">
        <f>IFERROR(__xludf.DUMMYFUNCTION("""COMPUTED_VALUE"""),"https://dblp.org/db/conf/vrst/index.html")</f>
        <v>https://dblp.org/db/conf/vrst/index.html</v>
      </c>
    </row>
    <row r="35">
      <c r="A35" s="68" t="str">
        <f>IFERROR(__xludf.DUMMYFUNCTION("""COMPUTED_VALUE"""),"Eventos da Área")</f>
        <v>Eventos da Área</v>
      </c>
      <c r="B35" t="str">
        <f>IFERROR(__xludf.DUMMYFUNCTION("""COMPUTED_VALUE"""),"DG.O")</f>
        <v>DG.O</v>
      </c>
      <c r="C35" t="str">
        <f>IFERROR(__xludf.DUMMYFUNCTION("""COMPUTED_VALUE"""),"Annual International Conference on Digital Government Research")</f>
        <v>Annual International Conference on Digital Government Research</v>
      </c>
      <c r="D35">
        <f>IFERROR(__xludf.DUMMYFUNCTION("""COMPUTED_VALUE"""),25.0)</f>
        <v>25</v>
      </c>
      <c r="E35" s="147" t="str">
        <f>IFERROR(__xludf.DUMMYFUNCTION("""COMPUTED_VALUE"""),"https://scholar.google.com.br/citations?hl=pt-BR&amp;view_op=list_hcore&amp;venue=109OuuD55eYJ.2024")</f>
        <v>https://scholar.google.com.br/citations?hl=pt-BR&amp;view_op=list_hcore&amp;venue=109OuuD55eYJ.2024</v>
      </c>
      <c r="I35" s="60" t="str">
        <f>IFERROR(__xludf.DUMMYFUNCTION("""COMPUTED_VALUE"""),"https://dblp.org/db/conf/dgo/index.html")</f>
        <v>https://dblp.org/db/conf/dgo/index.html</v>
      </c>
    </row>
    <row r="36">
      <c r="A36" s="68" t="str">
        <f>IFERROR(__xludf.DUMMYFUNCTION("""COMPUTED_VALUE"""),"Eventos da Área")</f>
        <v>Eventos da Área</v>
      </c>
      <c r="B36" t="str">
        <f>IFERROR(__xludf.DUMMYFUNCTION("""COMPUTED_VALUE"""),"ACM CC")</f>
        <v>ACM CC</v>
      </c>
      <c r="C36" t="str">
        <f>IFERROR(__xludf.DUMMYFUNCTION("""COMPUTED_VALUE"""),"Creativity &amp; Cognition")</f>
        <v>Creativity &amp; Cognition</v>
      </c>
      <c r="D36">
        <f>IFERROR(__xludf.DUMMYFUNCTION("""COMPUTED_VALUE"""),23.0)</f>
        <v>23</v>
      </c>
      <c r="E36" s="147" t="str">
        <f>IFERROR(__xludf.DUMMYFUNCTION("""COMPUTED_VALUE"""),"https://scholar.google.com/citations?hl=en&amp;view_op=list_hcore&amp;venue=fckQPrz_q_gJ.2024")</f>
        <v>https://scholar.google.com/citations?hl=en&amp;view_op=list_hcore&amp;venue=fckQPrz_q_gJ.2024</v>
      </c>
      <c r="I36" s="60" t="str">
        <f>IFERROR(__xludf.DUMMYFUNCTION("""COMPUTED_VALUE"""),"https://dblp.org/db/conf/candc/index.html")</f>
        <v>https://dblp.org/db/conf/candc/index.html</v>
      </c>
    </row>
    <row r="37">
      <c r="A37" s="68" t="str">
        <f>IFERROR(__xludf.DUMMYFUNCTION("""COMPUTED_VALUE"""),"Eventos da Área")</f>
        <v>Eventos da Área</v>
      </c>
      <c r="B37" t="str">
        <f>IFERROR(__xludf.DUMMYFUNCTION("""COMPUTED_VALUE"""),"IVA")</f>
        <v>IVA</v>
      </c>
      <c r="C37" t="str">
        <f>IFERROR(__xludf.DUMMYFUNCTION("""COMPUTED_VALUE"""),"International Conference on Intelligent Virtual Agents")</f>
        <v>International Conference on Intelligent Virtual Agents</v>
      </c>
      <c r="D37">
        <f>IFERROR(__xludf.DUMMYFUNCTION("""COMPUTED_VALUE"""),23.0)</f>
        <v>23</v>
      </c>
      <c r="E37" s="147" t="str">
        <f>IFERROR(__xludf.DUMMYFUNCTION("""COMPUTED_VALUE"""),"https://scholar.google.com/citations?hl=en&amp;view_op=list_hcore&amp;venue=Zy6oN9uVoooJ.2024")</f>
        <v>https://scholar.google.com/citations?hl=en&amp;view_op=list_hcore&amp;venue=Zy6oN9uVoooJ.2024</v>
      </c>
      <c r="I37" s="60" t="str">
        <f>IFERROR(__xludf.DUMMYFUNCTION("""COMPUTED_VALUE"""),"https://dblp.org/db/conf/iva/index.html")</f>
        <v>https://dblp.org/db/conf/iva/index.html</v>
      </c>
    </row>
    <row r="38">
      <c r="A38" s="68" t="str">
        <f>IFERROR(__xludf.DUMMYFUNCTION("""COMPUTED_VALUE"""),"Eventos da Área")</f>
        <v>Eventos da Área</v>
      </c>
      <c r="B38" t="str">
        <f>IFERROR(__xludf.DUMMYFUNCTION("""COMPUTED_VALUE"""),"ICALT")</f>
        <v>ICALT</v>
      </c>
      <c r="C38" t="str">
        <f>IFERROR(__xludf.DUMMYFUNCTION("""COMPUTED_VALUE"""),"IEEE International Conference on Advanced Learning Technologies")</f>
        <v>IEEE International Conference on Advanced Learning Technologies</v>
      </c>
      <c r="D38">
        <f>IFERROR(__xludf.DUMMYFUNCTION("""COMPUTED_VALUE"""),22.0)</f>
        <v>22</v>
      </c>
      <c r="E38" s="147" t="str">
        <f>IFERROR(__xludf.DUMMYFUNCTION("""COMPUTED_VALUE"""),"https://scholar.google.com/citations?hl=en&amp;view_op=list_hcore&amp;venue=-QH-Ge-vaUsJ.2024")</f>
        <v>https://scholar.google.com/citations?hl=en&amp;view_op=list_hcore&amp;venue=-QH-Ge-vaUsJ.2024</v>
      </c>
      <c r="I38" s="60" t="str">
        <f>IFERROR(__xludf.DUMMYFUNCTION("""COMPUTED_VALUE"""),"https://dblp.org/db/conf/icalt/index.html")</f>
        <v>https://dblp.org/db/conf/icalt/index.html</v>
      </c>
    </row>
    <row r="39">
      <c r="A39" s="68" t="str">
        <f>IFERROR(__xludf.DUMMYFUNCTION("""COMPUTED_VALUE"""),"Eventos da Área")</f>
        <v>Eventos da Área</v>
      </c>
      <c r="B39" t="str">
        <f>IFERROR(__xludf.DUMMYFUNCTION("""COMPUTED_VALUE"""),"ICEIS")</f>
        <v>ICEIS</v>
      </c>
      <c r="C39" t="str">
        <f>IFERROR(__xludf.DUMMYFUNCTION("""COMPUTED_VALUE"""),"International Conference on Enterprise Information Systems")</f>
        <v>International Conference on Enterprise Information Systems</v>
      </c>
      <c r="D39">
        <f>IFERROR(__xludf.DUMMYFUNCTION("""COMPUTED_VALUE"""),21.0)</f>
        <v>21</v>
      </c>
      <c r="E39" s="147" t="str">
        <f>IFERROR(__xludf.DUMMYFUNCTION("""COMPUTED_VALUE"""),"https://scholar.google.com/citations?hl=en&amp;view_op=list_hcore&amp;venue=zsGWp1QJr3AJ.2024")</f>
        <v>https://scholar.google.com/citations?hl=en&amp;view_op=list_hcore&amp;venue=zsGWp1QJr3AJ.2024</v>
      </c>
      <c r="I39" s="60" t="str">
        <f>IFERROR(__xludf.DUMMYFUNCTION("""COMPUTED_VALUE"""),"https://dblp.org/db/conf/iceis/index.html")</f>
        <v>https://dblp.org/db/conf/iceis/index.html</v>
      </c>
    </row>
    <row r="40">
      <c r="A40" s="68" t="str">
        <f>IFERROR(__xludf.DUMMYFUNCTION("""COMPUTED_VALUE"""),"Eventos da Área")</f>
        <v>Eventos da Área</v>
      </c>
      <c r="B40" t="str">
        <f>IFERROR(__xludf.DUMMYFUNCTION("""COMPUTED_VALUE"""),"CSEDU")</f>
        <v>CSEDU</v>
      </c>
      <c r="C40" t="str">
        <f>IFERROR(__xludf.DUMMYFUNCTION("""COMPUTED_VALUE"""),"International Conference on Computer Supported Education")</f>
        <v>International Conference on Computer Supported Education</v>
      </c>
      <c r="D40">
        <f>IFERROR(__xludf.DUMMYFUNCTION("""COMPUTED_VALUE"""),21.0)</f>
        <v>21</v>
      </c>
      <c r="E40" s="147" t="str">
        <f>IFERROR(__xludf.DUMMYFUNCTION("""COMPUTED_VALUE"""),"https://scholar.google.com/citations?hl=en&amp;view_op=list_hcore&amp;venue=nzz9FASca4MJ.2024")</f>
        <v>https://scholar.google.com/citations?hl=en&amp;view_op=list_hcore&amp;venue=nzz9FASca4MJ.2024</v>
      </c>
      <c r="I40" s="60" t="str">
        <f>IFERROR(__xludf.DUMMYFUNCTION("""COMPUTED_VALUE"""),"https://dblp.org/db/conf/csedu/index.html")</f>
        <v>https://dblp.org/db/conf/csedu/index.html</v>
      </c>
    </row>
    <row r="41">
      <c r="A41" s="68" t="str">
        <f>IFERROR(__xludf.DUMMYFUNCTION("""COMPUTED_VALUE"""),"Eventos da Área")</f>
        <v>Eventos da Área</v>
      </c>
      <c r="B41" t="str">
        <f>IFERROR(__xludf.DUMMYFUNCTION("""COMPUTED_VALUE"""),"AH")</f>
        <v>AH</v>
      </c>
      <c r="C41" t="str">
        <f>IFERROR(__xludf.DUMMYFUNCTION("""COMPUTED_VALUE"""),"Augmented Human International Conference")</f>
        <v>Augmented Human International Conference</v>
      </c>
      <c r="D41">
        <f>IFERROR(__xludf.DUMMYFUNCTION("""COMPUTED_VALUE"""),20.0)</f>
        <v>20</v>
      </c>
      <c r="E41" s="147" t="str">
        <f>IFERROR(__xludf.DUMMYFUNCTION("""COMPUTED_VALUE"""),"https://scholar.google.com.br/citations?hl=pt-BR&amp;view_op=list_hcore&amp;venue=HqiGvACsawYJ.2024")</f>
        <v>https://scholar.google.com.br/citations?hl=pt-BR&amp;view_op=list_hcore&amp;venue=HqiGvACsawYJ.2024</v>
      </c>
      <c r="I41" s="60" t="str">
        <f>IFERROR(__xludf.DUMMYFUNCTION("""COMPUTED_VALUE"""),"https://dblp.org/db/conf/aughuman/index.html")</f>
        <v>https://dblp.org/db/conf/aughuman/index.html</v>
      </c>
    </row>
    <row r="42">
      <c r="A42" s="68" t="str">
        <f>IFERROR(__xludf.DUMMYFUNCTION("""COMPUTED_VALUE"""),"Eventos da Área")</f>
        <v>Eventos da Área</v>
      </c>
      <c r="B42" t="str">
        <f>IFERROR(__xludf.DUMMYFUNCTION("""COMPUTED_VALUE"""),"VL")</f>
        <v>VL</v>
      </c>
      <c r="C42" t="str">
        <f>IFERROR(__xludf.DUMMYFUNCTION("""COMPUTED_VALUE"""),"IEEE Symposium on Visual Languages  ")</f>
        <v>IEEE Symposium on Visual Languages  </v>
      </c>
      <c r="D42">
        <f>IFERROR(__xludf.DUMMYFUNCTION("""COMPUTED_VALUE"""),18.0)</f>
        <v>18</v>
      </c>
      <c r="E42" s="147" t="str">
        <f>IFERROR(__xludf.DUMMYFUNCTION("""COMPUTED_VALUE"""),"https://scholar.google.com/citations?hl=en&amp;view_op=list_hcore&amp;venue=PDH_h8gpFWsJ.2024")</f>
        <v>https://scholar.google.com/citations?hl=en&amp;view_op=list_hcore&amp;venue=PDH_h8gpFWsJ.2024</v>
      </c>
      <c r="F42" t="str">
        <f>IFERROR(__xludf.DUMMYFUNCTION("""COMPUTED_VALUE"""),"VL/HCC")</f>
        <v>VL/HCC</v>
      </c>
      <c r="G42" t="str">
        <f>IFERROR(__xludf.DUMMYFUNCTION("""COMPUTED_VALUE"""),"IEEE Symposium on Visual Languages and Human-Centric Computing")</f>
        <v>IEEE Symposium on Visual Languages and Human-Centric Computing</v>
      </c>
      <c r="I42" s="60" t="str">
        <f>IFERROR(__xludf.DUMMYFUNCTION("""COMPUTED_VALUE"""),"https://dblp.org/db/conf/vl/index.html")</f>
        <v>https://dblp.org/db/conf/vl/index.html</v>
      </c>
    </row>
    <row r="43">
      <c r="A43" s="68" t="str">
        <f>IFERROR(__xludf.DUMMYFUNCTION("""COMPUTED_VALUE"""),"Eventos da Área")</f>
        <v>Eventos da Área</v>
      </c>
      <c r="B43" t="str">
        <f>IFERROR(__xludf.DUMMYFUNCTION("""COMPUTED_VALUE"""),"W4A")</f>
        <v>W4A</v>
      </c>
      <c r="C43" t="str">
        <f>IFERROR(__xludf.DUMMYFUNCTION("""COMPUTED_VALUE"""),"International Cross-Disciplinary Conference on Web Accessibility")</f>
        <v>International Cross-Disciplinary Conference on Web Accessibility</v>
      </c>
      <c r="D43">
        <f>IFERROR(__xludf.DUMMYFUNCTION("""COMPUTED_VALUE"""),17.0)</f>
        <v>17</v>
      </c>
      <c r="E43" s="147" t="str">
        <f>IFERROR(__xludf.DUMMYFUNCTION("""COMPUTED_VALUE"""),"https://scholar.google.com/citations?hl=en&amp;view_op=list_hcore&amp;venue=TXeN4Nn46qQJ.2024")</f>
        <v>https://scholar.google.com/citations?hl=en&amp;view_op=list_hcore&amp;venue=TXeN4Nn46qQJ.2024</v>
      </c>
      <c r="I43" s="60" t="str">
        <f>IFERROR(__xludf.DUMMYFUNCTION("""COMPUTED_VALUE"""),"https://dblp.org/db/conf/w4a/index.html")</f>
        <v>https://dblp.org/db/conf/w4a/index.html</v>
      </c>
    </row>
    <row r="44">
      <c r="A44" s="68" t="str">
        <f>IFERROR(__xludf.DUMMYFUNCTION("""COMPUTED_VALUE"""),"Eventos da Área")</f>
        <v>Eventos da Área</v>
      </c>
      <c r="B44" t="str">
        <f>IFERROR(__xludf.DUMMYFUNCTION("""COMPUTED_VALUE"""),"SUI")</f>
        <v>SUI</v>
      </c>
      <c r="C44" t="str">
        <f>IFERROR(__xludf.DUMMYFUNCTION("""COMPUTED_VALUE"""),"Symposium on Spatial User Interaction")</f>
        <v>Symposium on Spatial User Interaction</v>
      </c>
      <c r="D44">
        <f>IFERROR(__xludf.DUMMYFUNCTION("""COMPUTED_VALUE"""),16.0)</f>
        <v>16</v>
      </c>
      <c r="E44" s="147" t="str">
        <f>IFERROR(__xludf.DUMMYFUNCTION("""COMPUTED_VALUE"""),"https://scholar.google.com/citations?hl=en&amp;view_op=list_hcore&amp;venue=pUIVy52VbeEJ.2024")</f>
        <v>https://scholar.google.com/citations?hl=en&amp;view_op=list_hcore&amp;venue=pUIVy52VbeEJ.2024</v>
      </c>
      <c r="I44" s="60" t="str">
        <f>IFERROR(__xludf.DUMMYFUNCTION("""COMPUTED_VALUE"""),"https://dblp.org/db/conf/sui/index.html")</f>
        <v>https://dblp.org/db/conf/sui/index.html</v>
      </c>
    </row>
    <row r="45">
      <c r="A45" s="68" t="str">
        <f>IFERROR(__xludf.DUMMYFUNCTION("""COMPUTED_VALUE"""),"Eventos da Área")</f>
        <v>Eventos da Área</v>
      </c>
      <c r="B45" t="str">
        <f>IFERROR(__xludf.DUMMYFUNCTION("""COMPUTED_VALUE"""),"ITS")</f>
        <v>ITS</v>
      </c>
      <c r="C45" t="str">
        <f>IFERROR(__xludf.DUMMYFUNCTION("""COMPUTED_VALUE"""),"International Conference on Intelligent Tutoring Systems")</f>
        <v>International Conference on Intelligent Tutoring Systems</v>
      </c>
      <c r="D45">
        <f>IFERROR(__xludf.DUMMYFUNCTION("""COMPUTED_VALUE"""),16.0)</f>
        <v>16</v>
      </c>
      <c r="E45" s="147" t="str">
        <f>IFERROR(__xludf.DUMMYFUNCTION("""COMPUTED_VALUE"""),"https://scholar.google.com/citations?hl=en&amp;view_op=list_hcore&amp;venue=pjzAYQWqW2kJ.2024")</f>
        <v>https://scholar.google.com/citations?hl=en&amp;view_op=list_hcore&amp;venue=pjzAYQWqW2kJ.2024</v>
      </c>
      <c r="G45" t="str">
        <f>IFERROR(__xludf.DUMMYFUNCTION("""COMPUTED_VALUE"""),"International Intelligent Tutoring Systems Conference")</f>
        <v>International Intelligent Tutoring Systems Conference</v>
      </c>
      <c r="I45" s="60" t="str">
        <f>IFERROR(__xludf.DUMMYFUNCTION("""COMPUTED_VALUE"""),"https://dblp.org/db/conf/its/index.html")</f>
        <v>https://dblp.org/db/conf/its/index.html</v>
      </c>
    </row>
    <row r="46">
      <c r="A46" s="68" t="str">
        <f>IFERROR(__xludf.DUMMYFUNCTION("""COMPUTED_VALUE"""),"Eventos da Área")</f>
        <v>Eventos da Área</v>
      </c>
      <c r="B46" t="str">
        <f>IFERROR(__xludf.DUMMYFUNCTION("""COMPUTED_VALUE"""),"EGOV")</f>
        <v>EGOV</v>
      </c>
      <c r="C46" t="str">
        <f>IFERROR(__xludf.DUMMYFUNCTION("""COMPUTED_VALUE"""),"International Conference on Electronic Government")</f>
        <v>International Conference on Electronic Government</v>
      </c>
      <c r="D46">
        <f>IFERROR(__xludf.DUMMYFUNCTION("""COMPUTED_VALUE"""),15.0)</f>
        <v>15</v>
      </c>
      <c r="E46" s="147" t="str">
        <f>IFERROR(__xludf.DUMMYFUNCTION("""COMPUTED_VALUE"""),"https://scholar.google.com.br/citations?hl=pt-BR&amp;view_op=list_hcore&amp;venue=UF-KqO2gwjoJ.2024")</f>
        <v>https://scholar.google.com.br/citations?hl=pt-BR&amp;view_op=list_hcore&amp;venue=UF-KqO2gwjoJ.2024</v>
      </c>
      <c r="I46" s="60" t="str">
        <f>IFERROR(__xludf.DUMMYFUNCTION("""COMPUTED_VALUE"""),"https://dblp.org/db/conf/egov/index.html")</f>
        <v>https://dblp.org/db/conf/egov/index.html</v>
      </c>
    </row>
    <row r="47">
      <c r="A47" s="68" t="str">
        <f>IFERROR(__xludf.DUMMYFUNCTION("""COMPUTED_VALUE"""),"Eventos da Área")</f>
        <v>Eventos da Área</v>
      </c>
      <c r="B47" t="str">
        <f>IFERROR(__xludf.DUMMYFUNCTION("""COMPUTED_VALUE"""),"IV")</f>
        <v>IV</v>
      </c>
      <c r="C47" t="str">
        <f>IFERROR(__xludf.DUMMYFUNCTION("""COMPUTED_VALUE"""),"International Conference on Information Visualisation")</f>
        <v>International Conference on Information Visualisation</v>
      </c>
      <c r="D47">
        <f>IFERROR(__xludf.DUMMYFUNCTION("""COMPUTED_VALUE"""),15.0)</f>
        <v>15</v>
      </c>
      <c r="E47" s="147" t="str">
        <f>IFERROR(__xludf.DUMMYFUNCTION("""COMPUTED_VALUE"""),"https://scholar.google.com.br/citations?hl=pt-BR&amp;view_op=list_hcore&amp;venue=vRWGetFmuFkJ.2024")</f>
        <v>https://scholar.google.com.br/citations?hl=pt-BR&amp;view_op=list_hcore&amp;venue=vRWGetFmuFkJ.2024</v>
      </c>
      <c r="F47" t="str">
        <f>IFERROR(__xludf.DUMMYFUNCTION("""COMPUTED_VALUE"""),"ICIV")</f>
        <v>ICIV</v>
      </c>
      <c r="I47" s="60" t="str">
        <f>IFERROR(__xludf.DUMMYFUNCTION("""COMPUTED_VALUE"""),"https://dblp.org/db/conf/iv/index.html")</f>
        <v>https://dblp.org/db/conf/iv/index.html</v>
      </c>
    </row>
    <row r="48">
      <c r="A48" s="68" t="str">
        <f>IFERROR(__xludf.DUMMYFUNCTION("""COMPUTED_VALUE"""),"Eventos da Área")</f>
        <v>Eventos da Área</v>
      </c>
      <c r="B48" t="str">
        <f>IFERROR(__xludf.DUMMYFUNCTION("""COMPUTED_VALUE"""),"SVR")</f>
        <v>SVR</v>
      </c>
      <c r="C48" t="str">
        <f>IFERROR(__xludf.DUMMYFUNCTION("""COMPUTED_VALUE"""),"SBC Symposium on Virtual and Augmented Reality ")</f>
        <v>SBC Symposium on Virtual and Augmented Reality </v>
      </c>
      <c r="D48">
        <f>IFERROR(__xludf.DUMMYFUNCTION("""COMPUTED_VALUE"""),14.0)</f>
        <v>14</v>
      </c>
      <c r="E48" s="147" t="str">
        <f>IFERROR(__xludf.DUMMYFUNCTION("""COMPUTED_VALUE"""),"https://scholar.google.com/citations?hl=en&amp;view_op=list_hcore&amp;venue=Y15SCgN8Um8J.2024")</f>
        <v>https://scholar.google.com/citations?hl=en&amp;view_op=list_hcore&amp;venue=Y15SCgN8Um8J.2024</v>
      </c>
      <c r="I48" s="60" t="str">
        <f>IFERROR(__xludf.DUMMYFUNCTION("""COMPUTED_VALUE"""),"https://dblp.org/db/conf/svr/index.html")</f>
        <v>https://dblp.org/db/conf/svr/index.html</v>
      </c>
    </row>
    <row r="49">
      <c r="A49" s="68" t="str">
        <f>IFERROR(__xludf.DUMMYFUNCTION("""COMPUTED_VALUE"""),"Eventos da Área")</f>
        <v>Eventos da Área</v>
      </c>
      <c r="B49" t="str">
        <f>IFERROR(__xludf.DUMMYFUNCTION("""COMPUTED_VALUE"""),"ITS")</f>
        <v>ITS</v>
      </c>
      <c r="C49" t="str">
        <f>IFERROR(__xludf.DUMMYFUNCTION("""COMPUTED_VALUE"""),"ACM International Conference on Interactive Tabletops and Surfaces")</f>
        <v>ACM International Conference on Interactive Tabletops and Surfaces</v>
      </c>
      <c r="D49">
        <f>IFERROR(__xludf.DUMMYFUNCTION("""COMPUTED_VALUE"""),14.0)</f>
        <v>14</v>
      </c>
      <c r="E49" s="147" t="str">
        <f>IFERROR(__xludf.DUMMYFUNCTION("""COMPUTED_VALUE"""),"https://scholar.google.com/citations?hl=en&amp;view_op=list_hcore&amp;venue=js1p_d4DBXkJ.2024")</f>
        <v>https://scholar.google.com/citations?hl=en&amp;view_op=list_hcore&amp;venue=js1p_d4DBXkJ.2024</v>
      </c>
      <c r="G49" t="str">
        <f>IFERROR(__xludf.DUMMYFUNCTION("""COMPUTED_VALUE"""),"ACM International Conference on Interactive Surfaces and Spaces")</f>
        <v>ACM International Conference on Interactive Surfaces and Spaces</v>
      </c>
      <c r="I49" s="60" t="str">
        <f>IFERROR(__xludf.DUMMYFUNCTION("""COMPUTED_VALUE"""),"https://dblp.org/db/conf/tabletop/index.html")</f>
        <v>https://dblp.org/db/conf/tabletop/index.html</v>
      </c>
    </row>
    <row r="50">
      <c r="A50" s="68" t="str">
        <f>IFERROR(__xludf.DUMMYFUNCTION("""COMPUTED_VALUE"""),"Eventos da Área")</f>
        <v>Eventos da Área</v>
      </c>
      <c r="B50" t="str">
        <f>IFERROR(__xludf.DUMMYFUNCTION("""COMPUTED_VALUE"""),"WEBIST")</f>
        <v>WEBIST</v>
      </c>
      <c r="C50" t="str">
        <f>IFERROR(__xludf.DUMMYFUNCTION("""COMPUTED_VALUE"""),"International Conference on Web Information Systems and Technologies")</f>
        <v>International Conference on Web Information Systems and Technologies</v>
      </c>
      <c r="D50">
        <f>IFERROR(__xludf.DUMMYFUNCTION("""COMPUTED_VALUE"""),14.0)</f>
        <v>14</v>
      </c>
      <c r="E50" s="147" t="str">
        <f>IFERROR(__xludf.DUMMYFUNCTION("""COMPUTED_VALUE"""),"https://scholar.google.com.br/citations?hl=pt-BR&amp;view_op=list_hcore&amp;venue=0oQi0-PzQ8sJ.2024")</f>
        <v>https://scholar.google.com.br/citations?hl=pt-BR&amp;view_op=list_hcore&amp;venue=0oQi0-PzQ8sJ.2024</v>
      </c>
      <c r="I50" s="60" t="str">
        <f>IFERROR(__xludf.DUMMYFUNCTION("""COMPUTED_VALUE"""),"https://dblp.org/db/conf/webist/index.html")</f>
        <v>https://dblp.org/db/conf/webist/index.html</v>
      </c>
    </row>
    <row r="51">
      <c r="A51" s="68" t="str">
        <f>IFERROR(__xludf.DUMMYFUNCTION("""COMPUTED_VALUE"""),"Eventos da Área")</f>
        <v>Eventos da Área</v>
      </c>
      <c r="B51" t="str">
        <f>IFERROR(__xludf.DUMMYFUNCTION("""COMPUTED_VALUE"""),"WEBMEDIA")</f>
        <v>WEBMEDIA</v>
      </c>
      <c r="C51" t="str">
        <f>IFERROR(__xludf.DUMMYFUNCTION("""COMPUTED_VALUE"""),"SBC Simpósio Brasileiro de Sistemas Multimídia e Web")</f>
        <v>SBC Simpósio Brasileiro de Sistemas Multimídia e Web</v>
      </c>
      <c r="D51">
        <f>IFERROR(__xludf.DUMMYFUNCTION("""COMPUTED_VALUE"""),13.0)</f>
        <v>13</v>
      </c>
      <c r="E51" s="147" t="str">
        <f>IFERROR(__xludf.DUMMYFUNCTION("""COMPUTED_VALUE"""),"https://scholar.google.com/citations?hl=en&amp;view_op=list_hcore&amp;venue=EL-07Zfxn_kJ.2024")</f>
        <v>https://scholar.google.com/citations?hl=en&amp;view_op=list_hcore&amp;venue=EL-07Zfxn_kJ.2024</v>
      </c>
      <c r="I51" s="60" t="str">
        <f>IFERROR(__xludf.DUMMYFUNCTION("""COMPUTED_VALUE"""),"https://dblp.org/db/conf/webmedia/index.html")</f>
        <v>https://dblp.org/db/conf/webmedia/index.html</v>
      </c>
      <c r="J51" s="60" t="str">
        <f>IFERROR(__xludf.DUMMYFUNCTION("""COMPUTED_VALUE"""),"https://sol.sbc.org.br/index.php/webmedia")</f>
        <v>https://sol.sbc.org.br/index.php/webmedia</v>
      </c>
    </row>
    <row r="52">
      <c r="A52" s="68" t="str">
        <f>IFERROR(__xludf.DUMMYFUNCTION("""COMPUTED_VALUE"""),"Eventos da Área")</f>
        <v>Eventos da Área</v>
      </c>
      <c r="B52" t="str">
        <f>IFERROR(__xludf.DUMMYFUNCTION("""COMPUTED_VALUE"""),"DOCENG")</f>
        <v>DOCENG</v>
      </c>
      <c r="C52" t="str">
        <f>IFERROR(__xludf.DUMMYFUNCTION("""COMPUTED_VALUE"""),"ACM Symposium on Document Engineering")</f>
        <v>ACM Symposium on Document Engineering</v>
      </c>
      <c r="D52">
        <f>IFERROR(__xludf.DUMMYFUNCTION("""COMPUTED_VALUE"""),13.0)</f>
        <v>13</v>
      </c>
      <c r="E52" s="147" t="str">
        <f>IFERROR(__xludf.DUMMYFUNCTION("""COMPUTED_VALUE"""),"https://scholar.google.com/citations?hl=en&amp;view_op=list_hcore&amp;venue=C6AfMlHpHa0J.2024 ")</f>
        <v>https://scholar.google.com/citations?hl=en&amp;view_op=list_hcore&amp;venue=C6AfMlHpHa0J.2024 </v>
      </c>
      <c r="I52" s="60" t="str">
        <f>IFERROR(__xludf.DUMMYFUNCTION("""COMPUTED_VALUE"""),"https://dblp.org/db/conf/doceng/index.html")</f>
        <v>https://dblp.org/db/conf/doceng/index.html</v>
      </c>
    </row>
    <row r="53">
      <c r="A53" s="68" t="str">
        <f>IFERROR(__xludf.DUMMYFUNCTION("""COMPUTED_VALUE"""),"Eventos da Área")</f>
        <v>Eventos da Área</v>
      </c>
      <c r="B53" t="str">
        <f>IFERROR(__xludf.DUMMYFUNCTION("""COMPUTED_VALUE"""),"ICCHP")</f>
        <v>ICCHP</v>
      </c>
      <c r="C53" t="str">
        <f>IFERROR(__xludf.DUMMYFUNCTION("""COMPUTED_VALUE"""),"International Conference on Computers Helping People with Special Needs")</f>
        <v>International Conference on Computers Helping People with Special Needs</v>
      </c>
      <c r="D53">
        <f>IFERROR(__xludf.DUMMYFUNCTION("""COMPUTED_VALUE"""),12.0)</f>
        <v>12</v>
      </c>
      <c r="E53" s="147" t="str">
        <f>IFERROR(__xludf.DUMMYFUNCTION("""COMPUTED_VALUE"""),"https://scholar.google.com/citations?hl=en&amp;view_op=list_hcore&amp;venue=W0UcbMjBS4MJ.2024")</f>
        <v>https://scholar.google.com/citations?hl=en&amp;view_op=list_hcore&amp;venue=W0UcbMjBS4MJ.2024</v>
      </c>
      <c r="I53" s="60" t="str">
        <f>IFERROR(__xludf.DUMMYFUNCTION("""COMPUTED_VALUE"""),"https://dblp.org/db/conf/icchp/index.html")</f>
        <v>https://dblp.org/db/conf/icchp/index.html</v>
      </c>
    </row>
    <row r="54">
      <c r="A54" s="68" t="str">
        <f>IFERROR(__xludf.DUMMYFUNCTION("""COMPUTED_VALUE"""),"Eventos da Área")</f>
        <v>Eventos da Área</v>
      </c>
      <c r="B54" t="str">
        <f>IFERROR(__xludf.DUMMYFUNCTION("""COMPUTED_VALUE"""),"SBIE")</f>
        <v>SBIE</v>
      </c>
      <c r="C54" t="str">
        <f>IFERROR(__xludf.DUMMYFUNCTION("""COMPUTED_VALUE"""),"Simpósio Brasileiro de Informática na Educação")</f>
        <v>Simpósio Brasileiro de Informática na Educação</v>
      </c>
      <c r="D54">
        <f>IFERROR(__xludf.DUMMYFUNCTION("""COMPUTED_VALUE"""),12.0)</f>
        <v>12</v>
      </c>
      <c r="E54" s="147" t="str">
        <f>IFERROR(__xludf.DUMMYFUNCTION("""COMPUTED_VALUE"""),"https://scholar.google.com/citations?hl=pt-BR&amp;view_op=list_hcore&amp;venue=DMcB-6XAVukJ.2024")</f>
        <v>https://scholar.google.com/citations?hl=pt-BR&amp;view_op=list_hcore&amp;venue=DMcB-6XAVukJ.2024</v>
      </c>
      <c r="J54" s="60" t="str">
        <f>IFERROR(__xludf.DUMMYFUNCTION("""COMPUTED_VALUE"""),"https://sol.sbc.org.br/index.php/sbie")</f>
        <v>https://sol.sbc.org.br/index.php/sbie</v>
      </c>
    </row>
    <row r="55">
      <c r="A55" s="68" t="str">
        <f>IFERROR(__xludf.DUMMYFUNCTION("""COMPUTED_VALUE"""),"Eventos da Área")</f>
        <v>Eventos da Área</v>
      </c>
      <c r="B55" t="str">
        <f>IFERROR(__xludf.DUMMYFUNCTION("""COMPUTED_VALUE"""),"CLEI")</f>
        <v>CLEI</v>
      </c>
      <c r="C55" t="str">
        <f>IFERROR(__xludf.DUMMYFUNCTION("""COMPUTED_VALUE"""),"Conferencia Latinoamericana En Informatica")</f>
        <v>Conferencia Latinoamericana En Informatica</v>
      </c>
      <c r="D55">
        <f>IFERROR(__xludf.DUMMYFUNCTION("""COMPUTED_VALUE"""),11.0)</f>
        <v>11</v>
      </c>
      <c r="E55" s="147" t="str">
        <f>IFERROR(__xludf.DUMMYFUNCTION("""COMPUTED_VALUE"""),"https://scholar.google.com/citations?hl=en&amp;view_op=list_hcore&amp;venue=ThEGj_a76ZUJ.2024")</f>
        <v>https://scholar.google.com/citations?hl=en&amp;view_op=list_hcore&amp;venue=ThEGj_a76ZUJ.2024</v>
      </c>
      <c r="I55" s="60" t="str">
        <f>IFERROR(__xludf.DUMMYFUNCTION("""COMPUTED_VALUE"""),"https://dblp.org/db/conf/clei/index.html")</f>
        <v>https://dblp.org/db/conf/clei/index.html</v>
      </c>
    </row>
    <row r="56">
      <c r="A56" s="68" t="str">
        <f>IFERROR(__xludf.DUMMYFUNCTION("""COMPUTED_VALUE"""),"Eventos da Área")</f>
        <v>Eventos da Área</v>
      </c>
      <c r="B56" t="str">
        <f>IFERROR(__xludf.DUMMYFUNCTION("""COMPUTED_VALUE"""),"SIGDOC")</f>
        <v>SIGDOC</v>
      </c>
      <c r="C56" t="str">
        <f>IFERROR(__xludf.DUMMYFUNCTION("""COMPUTED_VALUE"""),"ACM International Conference on Design of Communication")</f>
        <v>ACM International Conference on Design of Communication</v>
      </c>
      <c r="D56">
        <f>IFERROR(__xludf.DUMMYFUNCTION("""COMPUTED_VALUE"""),11.0)</f>
        <v>11</v>
      </c>
      <c r="E56" s="147" t="str">
        <f>IFERROR(__xludf.DUMMYFUNCTION("""COMPUTED_VALUE"""),"https://scholar.google.com/citations?hl=en&amp;view_op=list_hcore&amp;venue=Z4k3y0OWHUwJ.2024")</f>
        <v>https://scholar.google.com/citations?hl=en&amp;view_op=list_hcore&amp;venue=Z4k3y0OWHUwJ.2024</v>
      </c>
      <c r="I56" s="60" t="str">
        <f>IFERROR(__xludf.DUMMYFUNCTION("""COMPUTED_VALUE"""),"https://dblp.org/db/conf/sigdoc/index.html")</f>
        <v>https://dblp.org/db/conf/sigdoc/index.html</v>
      </c>
    </row>
    <row r="57">
      <c r="A57" s="68" t="str">
        <f>IFERROR(__xludf.DUMMYFUNCTION("""COMPUTED_VALUE"""),"Eventos da Área")</f>
        <v>Eventos da Área</v>
      </c>
      <c r="B57" t="str">
        <f>IFERROR(__xludf.DUMMYFUNCTION("""COMPUTED_VALUE"""),"VECIMS/CIVEMSA")</f>
        <v>VECIMS/CIVEMSA</v>
      </c>
      <c r="C57" t="str">
        <f>IFERROR(__xludf.DUMMYFUNCTION("""COMPUTED_VALUE"""),"IEEE International Conference on Virtual Environments Human-Computer Interfaces and Measurement Systems")</f>
        <v>IEEE International Conference on Virtual Environments Human-Computer Interfaces and Measurement Systems</v>
      </c>
      <c r="D57">
        <f>IFERROR(__xludf.DUMMYFUNCTION("""COMPUTED_VALUE"""),11.0)</f>
        <v>11</v>
      </c>
      <c r="E57" s="147" t="str">
        <f>IFERROR(__xludf.DUMMYFUNCTION("""COMPUTED_VALUE"""),"https://scholar.google.com/citations?hl=en&amp;view_op=list_hcore&amp;venue=SE0J8GWI_bcJ.2024")</f>
        <v>https://scholar.google.com/citations?hl=en&amp;view_op=list_hcore&amp;venue=SE0J8GWI_bcJ.2024</v>
      </c>
      <c r="I57" s="60" t="str">
        <f>IFERROR(__xludf.DUMMYFUNCTION("""COMPUTED_VALUE"""),"https://dblp.org/db/conf/vecims/index.html")</f>
        <v>https://dblp.org/db/conf/vecims/index.html</v>
      </c>
    </row>
    <row r="58">
      <c r="A58" s="68" t="str">
        <f>IFERROR(__xludf.DUMMYFUNCTION("""COMPUTED_VALUE"""),"Eventos da Área")</f>
        <v>Eventos da Área</v>
      </c>
      <c r="B58" t="str">
        <f>IFERROR(__xludf.DUMMYFUNCTION("""COMPUTED_VALUE"""),"SBSI")</f>
        <v>SBSI</v>
      </c>
      <c r="C58" t="str">
        <f>IFERROR(__xludf.DUMMYFUNCTION("""COMPUTED_VALUE"""),"Simpósio Brasileiro de Sistemas de Informação")</f>
        <v>Simpósio Brasileiro de Sistemas de Informação</v>
      </c>
      <c r="D58">
        <f>IFERROR(__xludf.DUMMYFUNCTION("""COMPUTED_VALUE"""),11.0)</f>
        <v>11</v>
      </c>
      <c r="E58" s="147" t="str">
        <f>IFERROR(__xludf.DUMMYFUNCTION("""COMPUTED_VALUE"""),"https://scholar.google.com.br/citations?hl=pt-BR&amp;view_op=list_hcore&amp;venue=2ENJOr-ESPQJ.2024")</f>
        <v>https://scholar.google.com.br/citations?hl=pt-BR&amp;view_op=list_hcore&amp;venue=2ENJOr-ESPQJ.2024</v>
      </c>
      <c r="I58" s="60" t="str">
        <f>IFERROR(__xludf.DUMMYFUNCTION("""COMPUTED_VALUE"""),"https://dblp.org/db/conf/sbsi/index.html ")</f>
        <v>https://dblp.org/db/conf/sbsi/index.html </v>
      </c>
      <c r="J58" s="60" t="str">
        <f>IFERROR(__xludf.DUMMYFUNCTION("""COMPUTED_VALUE"""),"https://sol.sbc.org.br/index.php/sbsi")</f>
        <v>https://sol.sbc.org.br/index.php/sbsi</v>
      </c>
    </row>
    <row r="59">
      <c r="A59" s="68" t="str">
        <f>IFERROR(__xludf.DUMMYFUNCTION("""COMPUTED_VALUE"""),"Eventos da Área")</f>
        <v>Eventos da Área</v>
      </c>
      <c r="B59" t="str">
        <f>IFERROR(__xludf.DUMMYFUNCTION("""COMPUTED_VALUE"""),"SBGames")</f>
        <v>SBGames</v>
      </c>
      <c r="C59" t="str">
        <f>IFERROR(__xludf.DUMMYFUNCTION("""COMPUTED_VALUE"""),"Simpósio Brasileiro de Jogos e Entretenimento Digital")</f>
        <v>Simpósio Brasileiro de Jogos e Entretenimento Digital</v>
      </c>
      <c r="D59">
        <f>IFERROR(__xludf.DUMMYFUNCTION("""COMPUTED_VALUE"""),10.0)</f>
        <v>10</v>
      </c>
      <c r="E59" s="147" t="str">
        <f>IFERROR(__xludf.DUMMYFUNCTION("""COMPUTED_VALUE"""),"https://scholar.google.com/citations?hl=en&amp;view_op=list_hcore&amp;venue=ByeMqHL0dxAJ.2024")</f>
        <v>https://scholar.google.com/citations?hl=en&amp;view_op=list_hcore&amp;venue=ByeMqHL0dxAJ.2024</v>
      </c>
      <c r="I59" s="60" t="str">
        <f>IFERROR(__xludf.DUMMYFUNCTION("""COMPUTED_VALUE"""),"https://dblp.org/db/conf/sbgames/index.html ")</f>
        <v>https://dblp.org/db/conf/sbgames/index.html </v>
      </c>
    </row>
    <row r="60">
      <c r="A60" s="68" t="str">
        <f>IFERROR(__xludf.DUMMYFUNCTION("""COMPUTED_VALUE"""),"Eventos da Área")</f>
        <v>Eventos da Área</v>
      </c>
      <c r="B60" t="str">
        <f>IFERROR(__xludf.DUMMYFUNCTION("""COMPUTED_VALUE"""),"WIE")</f>
        <v>WIE</v>
      </c>
      <c r="C60" t="str">
        <f>IFERROR(__xludf.DUMMYFUNCTION("""COMPUTED_VALUE"""),"Workshop de Informática na Escola")</f>
        <v>Workshop de Informática na Escola</v>
      </c>
      <c r="D60">
        <f>IFERROR(__xludf.DUMMYFUNCTION("""COMPUTED_VALUE"""),10.0)</f>
        <v>10</v>
      </c>
      <c r="E60" s="147" t="str">
        <f>IFERROR(__xludf.DUMMYFUNCTION("""COMPUTED_VALUE"""),"https://scholar.google.com.br/citations?hl=pt-BR&amp;view_op=list_hcore&amp;venue=oRft04FzXroJ.2024")</f>
        <v>https://scholar.google.com.br/citations?hl=pt-BR&amp;view_op=list_hcore&amp;venue=oRft04FzXroJ.2024</v>
      </c>
      <c r="J60" s="60" t="str">
        <f>IFERROR(__xludf.DUMMYFUNCTION("""COMPUTED_VALUE"""),"https://sol.sbc.org.br/index.php/wie/issue/archive")</f>
        <v>https://sol.sbc.org.br/index.php/wie/issue/archive</v>
      </c>
    </row>
    <row r="61">
      <c r="A61" s="68" t="str">
        <f>IFERROR(__xludf.DUMMYFUNCTION("""COMPUTED_VALUE"""),"Eventos da Área")</f>
        <v>Eventos da Área</v>
      </c>
      <c r="B61" t="str">
        <f>IFERROR(__xludf.DUMMYFUNCTION("""COMPUTED_VALUE"""),"CLIHC")</f>
        <v>CLIHC</v>
      </c>
      <c r="C61" t="str">
        <f>IFERROR(__xludf.DUMMYFUNCTION("""COMPUTED_VALUE"""),"Latin American Conference on Human Computer Interaction")</f>
        <v>Latin American Conference on Human Computer Interaction</v>
      </c>
      <c r="D61">
        <f>IFERROR(__xludf.DUMMYFUNCTION("""COMPUTED_VALUE"""),7.0)</f>
        <v>7</v>
      </c>
      <c r="E61" s="147" t="str">
        <f>IFERROR(__xludf.DUMMYFUNCTION("""COMPUTED_VALUE"""),"https://scholar.google.com.br/citations?hl=pt-BR&amp;view_op=list_hcore&amp;venue=zMtc1kMzzzIJ.2024")</f>
        <v>https://scholar.google.com.br/citations?hl=pt-BR&amp;view_op=list_hcore&amp;venue=zMtc1kMzzzIJ.2024</v>
      </c>
      <c r="I61" s="60" t="str">
        <f>IFERROR(__xludf.DUMMYFUNCTION("""COMPUTED_VALUE"""),"https://dblp.org/db/conf/clihc/index.html")</f>
        <v>https://dblp.org/db/conf/clihc/index.html</v>
      </c>
    </row>
    <row r="62">
      <c r="A62" s="68" t="str">
        <f>IFERROR(__xludf.DUMMYFUNCTION("""COMPUTED_VALUE"""),"Eventos da Área")</f>
        <v>Eventos da Área</v>
      </c>
      <c r="B62" t="str">
        <f>IFERROR(__xludf.DUMMYFUNCTION("""COMPUTED_VALUE"""),"Jornadas HCI")</f>
        <v>Jornadas HCI</v>
      </c>
      <c r="C62" t="str">
        <f>IFERROR(__xludf.DUMMYFUNCTION("""COMPUTED_VALUE"""),"Iberoamerican Workshop on Human-Computer Interaction")</f>
        <v>Iberoamerican Workshop on Human-Computer Interaction</v>
      </c>
      <c r="D62">
        <f>IFERROR(__xludf.DUMMYFUNCTION("""COMPUTED_VALUE"""),7.0)</f>
        <v>7</v>
      </c>
      <c r="E62" s="147" t="str">
        <f>IFERROR(__xludf.DUMMYFUNCTION("""COMPUTED_VALUE"""),"https://scholar.google.com/citations?hl=pt-BR&amp;view_op=list_hcore&amp;venue=xnl06E004lgJ.2024")</f>
        <v>https://scholar.google.com/citations?hl=pt-BR&amp;view_op=list_hcore&amp;venue=xnl06E004lgJ.2024</v>
      </c>
      <c r="F62" t="str">
        <f>IFERROR(__xludf.DUMMYFUNCTION("""COMPUTED_VALUE"""),"HCI-COLLAB")</f>
        <v>HCI-COLLAB</v>
      </c>
      <c r="I62" s="60" t="str">
        <f>IFERROR(__xludf.DUMMYFUNCTION("""COMPUTED_VALUE"""),"https://dblp.org/db/conf/hci-collab/index.html")</f>
        <v>https://dblp.org/db/conf/hci-collab/index.html</v>
      </c>
    </row>
    <row r="63">
      <c r="A63" s="68" t="str">
        <f>IFERROR(__xludf.DUMMYFUNCTION("""COMPUTED_VALUE"""),"Eventos da Área")</f>
        <v>Eventos da Área</v>
      </c>
      <c r="C63" t="str">
        <f>IFERROR(__xludf.DUMMYFUNCTION("""COMPUTED_VALUE"""),"Computer on The Beach")</f>
        <v>Computer on The Beach</v>
      </c>
      <c r="D63">
        <f>IFERROR(__xludf.DUMMYFUNCTION("""COMPUTED_VALUE"""),5.0)</f>
        <v>5</v>
      </c>
      <c r="E63" s="147" t="str">
        <f>IFERROR(__xludf.DUMMYFUNCTION("""COMPUTED_VALUE"""),"https://scholar.google.com/citations?hl=en&amp;view_op=list_hcore&amp;venue=blumkO6J_ywJ.2024")</f>
        <v>https://scholar.google.com/citations?hl=en&amp;view_op=list_hcore&amp;venue=blumkO6J_ywJ.2024</v>
      </c>
    </row>
    <row r="64">
      <c r="A64" s="68" t="str">
        <f>IFERROR(__xludf.DUMMYFUNCTION("""COMPUTED_VALUE"""),"Eventos da Área")</f>
        <v>Eventos da Área</v>
      </c>
      <c r="B64" t="str">
        <f>IFERROR(__xludf.DUMMYFUNCTION("""COMPUTED_VALUE"""),"SEMISH")</f>
        <v>SEMISH</v>
      </c>
      <c r="C64" t="str">
        <f>IFERROR(__xludf.DUMMYFUNCTION("""COMPUTED_VALUE"""),"Seminário Integrado de Software e Hardware")</f>
        <v>Seminário Integrado de Software e Hardware</v>
      </c>
      <c r="D64">
        <f>IFERROR(__xludf.DUMMYFUNCTION("""COMPUTED_VALUE"""),4.0)</f>
        <v>4</v>
      </c>
      <c r="E64" s="147" t="str">
        <f>IFERROR(__xludf.DUMMYFUNCTION("""COMPUTED_VALUE"""),"https://scholar.google.com/citations?hl=en&amp;view_op=list_hcore&amp;venue=wGjmHjjfBacJ.2024")</f>
        <v>https://scholar.google.com/citations?hl=en&amp;view_op=list_hcore&amp;venue=wGjmHjjfBacJ.2024</v>
      </c>
      <c r="J64" s="60" t="str">
        <f>IFERROR(__xludf.DUMMYFUNCTION("""COMPUTED_VALUE"""),"https://sol.sbc.org.br/index.php/semish/issue/archive")</f>
        <v>https://sol.sbc.org.br/index.php/semish/issue/archive</v>
      </c>
    </row>
    <row r="65">
      <c r="A65" s="68" t="str">
        <f>IFERROR(__xludf.DUMMYFUNCTION("""COMPUTED_VALUE"""),"Eventos da Área")</f>
        <v>Eventos da Área</v>
      </c>
      <c r="B65" t="str">
        <f>IFERROR(__xludf.DUMMYFUNCTION("""COMPUTED_VALUE"""),"3DUI")</f>
        <v>3DUI</v>
      </c>
      <c r="C65" t="str">
        <f>IFERROR(__xludf.DUMMYFUNCTION("""COMPUTED_VALUE"""),"IEEE Symposium on 3D User Interfaces")</f>
        <v>IEEE Symposium on 3D User Interfaces</v>
      </c>
      <c r="D65">
        <f>IFERROR(__xludf.DUMMYFUNCTION("""COMPUTED_VALUE"""),22.0)</f>
        <v>22</v>
      </c>
      <c r="E65" s="147" t="str">
        <f>IFERROR(__xludf.DUMMYFUNCTION("""COMPUTED_VALUE"""),"https://scholar.google.com/scholar?hl=pt-BR&amp;as_sdt=0%2C5&amp;as_ylo=2020&amp;as_yhi=2024&amp;q=%22IEEE+Symposium+on+3D+User+Interfaces%22&amp;btnG=")</f>
        <v>https://scholar.google.com/scholar?hl=pt-BR&amp;as_sdt=0%2C5&amp;as_ylo=2020&amp;as_yhi=2024&amp;q=%22IEEE+Symposium+on+3D+User+Interfaces%22&amp;btnG=</v>
      </c>
      <c r="F65" t="str">
        <f>IFERROR(__xludf.DUMMYFUNCTION("""COMPUTED_VALUE"""),"VR")</f>
        <v>VR</v>
      </c>
      <c r="G65" t="str">
        <f>IFERROR(__xludf.DUMMYFUNCTION("""COMPUTED_VALUE"""),"IEEE Conference on Virtual Reality and 3D User Interfaces ")</f>
        <v>IEEE Conference on Virtual Reality and 3D User Interfaces </v>
      </c>
      <c r="I65" t="str">
        <f>IFERROR(__xludf.DUMMYFUNCTION("""COMPUTED_VALUE"""),"https://dblp.org/db/conf/3dui/index.html / https://dblp.org/db/conf/vr/index.html")</f>
        <v>https://dblp.org/db/conf/3dui/index.html / https://dblp.org/db/conf/vr/index.html</v>
      </c>
    </row>
    <row r="66">
      <c r="A66" s="68" t="str">
        <f>IFERROR(__xludf.DUMMYFUNCTION("""COMPUTED_VALUE"""),"Eventos da Área")</f>
        <v>Eventos da Área</v>
      </c>
      <c r="B66" t="str">
        <f>IFERROR(__xludf.DUMMYFUNCTION("""COMPUTED_VALUE"""),"HCOMP")</f>
        <v>HCOMP</v>
      </c>
      <c r="C66" t="str">
        <f>IFERROR(__xludf.DUMMYFUNCTION("""COMPUTED_VALUE"""),"AAAI Conference on Human Computation and Crowdsourcing")</f>
        <v>AAAI Conference on Human Computation and Crowdsourcing</v>
      </c>
      <c r="D66">
        <f>IFERROR(__xludf.DUMMYFUNCTION("""COMPUTED_VALUE"""),19.0)</f>
        <v>19</v>
      </c>
      <c r="E66" s="147" t="str">
        <f>IFERROR(__xludf.DUMMYFUNCTION("""COMPUTED_VALUE"""),"https://scholar.google.com/scholar?hl=pt-BR&amp;as_sdt=0%2C5&amp;as_ylo=2020&amp;as_yhi=2024&amp;q=%22AAAI+Conference+on+Human+Computation+and+Crowdsourcing%22&amp;btnG=")</f>
        <v>https://scholar.google.com/scholar?hl=pt-BR&amp;as_sdt=0%2C5&amp;as_ylo=2020&amp;as_yhi=2024&amp;q=%22AAAI+Conference+on+Human+Computation+and+Crowdsourcing%22&amp;btnG=</v>
      </c>
      <c r="I66" s="60" t="str">
        <f>IFERROR(__xludf.DUMMYFUNCTION("""COMPUTED_VALUE"""),"https://dblp.org/db/conf/hcomp/index.html")</f>
        <v>https://dblp.org/db/conf/hcomp/index.html</v>
      </c>
    </row>
    <row r="67">
      <c r="A67" s="68" t="str">
        <f>IFERROR(__xludf.DUMMYFUNCTION("""COMPUTED_VALUE"""),"Eventos da Área")</f>
        <v>Eventos da Área</v>
      </c>
      <c r="B67" t="str">
        <f>IFERROR(__xludf.DUMMYFUNCTION("""COMPUTED_VALUE"""),"GI")</f>
        <v>GI</v>
      </c>
      <c r="C67" t="str">
        <f>IFERROR(__xludf.DUMMYFUNCTION("""COMPUTED_VALUE"""),"Graphics Interface")</f>
        <v>Graphics Interface</v>
      </c>
      <c r="D67">
        <f>IFERROR(__xludf.DUMMYFUNCTION("""COMPUTED_VALUE"""),16.0)</f>
        <v>16</v>
      </c>
      <c r="E67" s="147" t="str">
        <f>IFERROR(__xludf.DUMMYFUNCTION("""COMPUTED_VALUE"""),"https://scholar.google.com/scholar?hl=pt-BR&amp;as_sdt=0%2C5&amp;as_ylo=2020&amp;as_yhi=2024&amp;q=%22Graphics+Interface%22&amp;btnG=")</f>
        <v>https://scholar.google.com/scholar?hl=pt-BR&amp;as_sdt=0%2C5&amp;as_ylo=2020&amp;as_yhi=2024&amp;q=%22Graphics+Interface%22&amp;btnG=</v>
      </c>
      <c r="I67" s="60" t="str">
        <f>IFERROR(__xludf.DUMMYFUNCTION("""COMPUTED_VALUE"""),"https://dblp.org/db/conf/graphicsinterface/index.html")</f>
        <v>https://dblp.org/db/conf/graphicsinterface/index.html</v>
      </c>
    </row>
    <row r="68">
      <c r="A68" s="68" t="str">
        <f>IFERROR(__xludf.DUMMYFUNCTION("""COMPUTED_VALUE"""),"Eventos da Área")</f>
        <v>Eventos da Área</v>
      </c>
      <c r="B68" t="str">
        <f>IFERROR(__xludf.DUMMYFUNCTION("""COMPUTED_VALUE"""),"TVX")</f>
        <v>TVX</v>
      </c>
      <c r="C68" t="str">
        <f>IFERROR(__xludf.DUMMYFUNCTION("""COMPUTED_VALUE"""),"ACM International Conference on Interactive Experiences for TV and Online Video")</f>
        <v>ACM International Conference on Interactive Experiences for TV and Online Video</v>
      </c>
      <c r="D68">
        <f>IFERROR(__xludf.DUMMYFUNCTION("""COMPUTED_VALUE"""),13.0)</f>
        <v>13</v>
      </c>
      <c r="E68" s="147" t="str">
        <f>IFERROR(__xludf.DUMMYFUNCTION("""COMPUTED_VALUE"""),"https://scholar.google.com/scholar?hl=pt-BR&amp;as_sdt=0%2C5&amp;as_ylo=2020&amp;as_yhi=2024&amp;q=%22ACM+International+Conference+on+Interactive+Experiences+for+TV+and+Online+Video%22&amp;btnG=")</f>
        <v>https://scholar.google.com/scholar?hl=pt-BR&amp;as_sdt=0%2C5&amp;as_ylo=2020&amp;as_yhi=2024&amp;q=%22ACM+International+Conference+on+Interactive+Experiences+for+TV+and+Online+Video%22&amp;btnG=</v>
      </c>
      <c r="I68" s="60" t="str">
        <f>IFERROR(__xludf.DUMMYFUNCTION("""COMPUTED_VALUE"""),"https://dblp.org/db/conf/tvx/index.html")</f>
        <v>https://dblp.org/db/conf/tvx/index.html</v>
      </c>
    </row>
    <row r="69">
      <c r="A69" s="68" t="str">
        <f>IFERROR(__xludf.DUMMYFUNCTION("""COMPUTED_VALUE"""),"Eventos da Área")</f>
        <v>Eventos da Área</v>
      </c>
      <c r="B69" t="str">
        <f>IFERROR(__xludf.DUMMYFUNCTION("""COMPUTED_VALUE"""),"ITS")</f>
        <v>ITS</v>
      </c>
      <c r="C69" t="str">
        <f>IFERROR(__xludf.DUMMYFUNCTION("""COMPUTED_VALUE"""),"ACM International Conference on Interactive Tabletops and Surfaces")</f>
        <v>ACM International Conference on Interactive Tabletops and Surfaces</v>
      </c>
      <c r="D69">
        <f>IFERROR(__xludf.DUMMYFUNCTION("""COMPUTED_VALUE"""),12.0)</f>
        <v>12</v>
      </c>
      <c r="E69" s="147" t="str">
        <f>IFERROR(__xludf.DUMMYFUNCTION("""COMPUTED_VALUE"""),"https://scholar.google.com/scholar?hl=pt-BR&amp;as_sdt=0%2C5&amp;as_ylo=2020&amp;as_yhi=2024&amp;q=%22ACM+International+Conference+on+Interactive+Tabletops+and+Surfaces%22&amp;btnG=")</f>
        <v>https://scholar.google.com/scholar?hl=pt-BR&amp;as_sdt=0%2C5&amp;as_ylo=2020&amp;as_yhi=2024&amp;q=%22ACM+International+Conference+on+Interactive+Tabletops+and+Surfaces%22&amp;btnG=</v>
      </c>
      <c r="I69" s="60" t="str">
        <f>IFERROR(__xludf.DUMMYFUNCTION("""COMPUTED_VALUE"""),"https://dblp.org/db/conf/tabletop/index.html")</f>
        <v>https://dblp.org/db/conf/tabletop/index.html</v>
      </c>
    </row>
    <row r="70">
      <c r="A70" s="68" t="str">
        <f>IFERROR(__xludf.DUMMYFUNCTION("""COMPUTED_VALUE"""),"Eventos da Área")</f>
        <v>Eventos da Área</v>
      </c>
      <c r="B70" t="str">
        <f>IFERROR(__xludf.DUMMYFUNCTION("""COMPUTED_VALUE"""),"PETRA")</f>
        <v>PETRA</v>
      </c>
      <c r="C70" t="str">
        <f>IFERROR(__xludf.DUMMYFUNCTION("""COMPUTED_VALUE"""),"ACM International Conference on PErvasive Technologies Related to Assistive Environments ")</f>
        <v>ACM International Conference on PErvasive Technologies Related to Assistive Environments </v>
      </c>
      <c r="D70">
        <f>IFERROR(__xludf.DUMMYFUNCTION("""COMPUTED_VALUE"""),11.0)</f>
        <v>11</v>
      </c>
      <c r="E70" s="147" t="str">
        <f>IFERROR(__xludf.DUMMYFUNCTION("""COMPUTED_VALUE"""),"https://scholar.google.com/scholar?hl=pt-BR&amp;as_sdt=0%2C5&amp;as_ylo=2020&amp;as_yhi=2024&amp;q=%22ACM+International+Conference+on+PErvasive+Technologies+Related+to+Assistive+Environments+%22&amp;btnG=")</f>
        <v>https://scholar.google.com/scholar?hl=pt-BR&amp;as_sdt=0%2C5&amp;as_ylo=2020&amp;as_yhi=2024&amp;q=%22ACM+International+Conference+on+PErvasive+Technologies+Related+to+Assistive+Environments+%22&amp;btnG=</v>
      </c>
      <c r="I70" s="60" t="str">
        <f>IFERROR(__xludf.DUMMYFUNCTION("""COMPUTED_VALUE"""),"https://dblp.org/db/conf/petra/index.html")</f>
        <v>https://dblp.org/db/conf/petra/index.html</v>
      </c>
    </row>
    <row r="71">
      <c r="A71" s="68" t="str">
        <f>IFERROR(__xludf.DUMMYFUNCTION("""COMPUTED_VALUE"""),"Eventos da Área")</f>
        <v>Eventos da Área</v>
      </c>
      <c r="B71" t="str">
        <f>IFERROR(__xludf.DUMMYFUNCTION("""COMPUTED_VALUE"""),"VISSOFT")</f>
        <v>VISSOFT</v>
      </c>
      <c r="C71" t="str">
        <f>IFERROR(__xludf.DUMMYFUNCTION("""COMPUTED_VALUE"""),"IEEE Working Conference on Software Visualization")</f>
        <v>IEEE Working Conference on Software Visualization</v>
      </c>
      <c r="D71">
        <f>IFERROR(__xludf.DUMMYFUNCTION("""COMPUTED_VALUE"""),11.0)</f>
        <v>11</v>
      </c>
      <c r="E71" s="147" t="str">
        <f>IFERROR(__xludf.DUMMYFUNCTION("""COMPUTED_VALUE"""),"https://scholar.google.com/scholar?hl=pt-BR&amp;as_sdt=0%2C5&amp;as_ylo=2020&amp;as_yhi=2024&amp;q=%22IEEE+Working+Conference+on+Software+Visualization%22&amp;btnG=")</f>
        <v>https://scholar.google.com/scholar?hl=pt-BR&amp;as_sdt=0%2C5&amp;as_ylo=2020&amp;as_yhi=2024&amp;q=%22IEEE+Working+Conference+on+Software+Visualization%22&amp;btnG=</v>
      </c>
      <c r="I71" s="60" t="str">
        <f>IFERROR(__xludf.DUMMYFUNCTION("""COMPUTED_VALUE"""),"https://dblp.org/db/conf/vissoft/index.html")</f>
        <v>https://dblp.org/db/conf/vissoft/index.html</v>
      </c>
    </row>
    <row r="72">
      <c r="A72" s="68" t="str">
        <f>IFERROR(__xludf.DUMMYFUNCTION("""COMPUTED_VALUE"""),"Eventos da Área")</f>
        <v>Eventos da Área</v>
      </c>
      <c r="B72" t="str">
        <f>IFERROR(__xludf.DUMMYFUNCTION("""COMPUTED_VALUE"""),"BCS-HCI")</f>
        <v>BCS-HCI</v>
      </c>
      <c r="C72" t="str">
        <f>IFERROR(__xludf.DUMMYFUNCTION("""COMPUTED_VALUE"""),"Conference of the British Computer Society Human Computer Interaction Specialist Group")</f>
        <v>Conference of the British Computer Society Human Computer Interaction Specialist Group</v>
      </c>
      <c r="D72">
        <f>IFERROR(__xludf.DUMMYFUNCTION("""COMPUTED_VALUE"""),11.0)</f>
        <v>11</v>
      </c>
      <c r="E72" s="147" t="str">
        <f>IFERROR(__xludf.DUMMYFUNCTION("""COMPUTED_VALUE"""),"https://scholar.google.com/scholar?hl=pt-BR&amp;as_sdt=0%2C5&amp;as_ylo=2020&amp;as_yhi=2024&amp;q=%22Conference+of+the+British+Computer+Society+Human+Computer+Interaction+Specialist+Group%22&amp;btnG=")</f>
        <v>https://scholar.google.com/scholar?hl=pt-BR&amp;as_sdt=0%2C5&amp;as_ylo=2020&amp;as_yhi=2024&amp;q=%22Conference+of+the+British+Computer+Society+Human+Computer+Interaction+Specialist+Group%22&amp;btnG=</v>
      </c>
      <c r="I72" s="60" t="str">
        <f>IFERROR(__xludf.DUMMYFUNCTION("""COMPUTED_VALUE"""),"https://dblp.org/db/conf/bcshci/index.html")</f>
        <v>https://dblp.org/db/conf/bcshci/index.html</v>
      </c>
    </row>
    <row r="73">
      <c r="A73" s="68" t="str">
        <f>IFERROR(__xludf.DUMMYFUNCTION("""COMPUTED_VALUE"""),"Eventos da Área")</f>
        <v>Eventos da Área</v>
      </c>
      <c r="B73" t="str">
        <f>IFERROR(__xludf.DUMMYFUNCTION("""COMPUTED_VALUE"""),"ACE")</f>
        <v>ACE</v>
      </c>
      <c r="C73" t="str">
        <f>IFERROR(__xludf.DUMMYFUNCTION("""COMPUTED_VALUE"""),"International Conference on Advances in Computer Entertainment Technology")</f>
        <v>International Conference on Advances in Computer Entertainment Technology</v>
      </c>
      <c r="D73">
        <f>IFERROR(__xludf.DUMMYFUNCTION("""COMPUTED_VALUE"""),10.0)</f>
        <v>10</v>
      </c>
      <c r="E73" s="147" t="str">
        <f>IFERROR(__xludf.DUMMYFUNCTION("""COMPUTED_VALUE"""),"https://scholar.google.com/scholar?hl=pt-BR&amp;as_sdt=0%2C5&amp;as_ylo=2020&amp;as_yhi=2024&amp;q=%22International+Conference+on+Advances+in+Computer+Entertainment+Technology%22&amp;btnG=")</f>
        <v>https://scholar.google.com/scholar?hl=pt-BR&amp;as_sdt=0%2C5&amp;as_ylo=2020&amp;as_yhi=2024&amp;q=%22International+Conference+on+Advances+in+Computer+Entertainment+Technology%22&amp;btnG=</v>
      </c>
      <c r="I73" s="60" t="str">
        <f>IFERROR(__xludf.DUMMYFUNCTION("""COMPUTED_VALUE"""),"https://dblp.org/db/conf/ACMace/index.html")</f>
        <v>https://dblp.org/db/conf/ACMace/index.html</v>
      </c>
    </row>
    <row r="74">
      <c r="A74" s="68" t="str">
        <f>IFERROR(__xludf.DUMMYFUNCTION("""COMPUTED_VALUE"""),"Eventos da Área")</f>
        <v>Eventos da Área</v>
      </c>
      <c r="B74" t="str">
        <f>IFERROR(__xludf.DUMMYFUNCTION("""COMPUTED_VALUE"""),"SIGGRAPH")</f>
        <v>SIGGRAPH</v>
      </c>
      <c r="C74" t="str">
        <f>IFERROR(__xludf.DUMMYFUNCTION("""COMPUTED_VALUE"""),"ACM International Conference on Computer Graphics and Interactive Techniques")</f>
        <v>ACM International Conference on Computer Graphics and Interactive Techniques</v>
      </c>
      <c r="D74">
        <f>IFERROR(__xludf.DUMMYFUNCTION("""COMPUTED_VALUE"""),9.0)</f>
        <v>9</v>
      </c>
      <c r="E74" s="147" t="str">
        <f>IFERROR(__xludf.DUMMYFUNCTION("""COMPUTED_VALUE"""),"https://scholar.google.com/scholar?hl=pt-BR&amp;as_sdt=0%2C5&amp;as_ylo=2020&amp;as_yhi=2024&amp;q=%22ACM+International+Conference+on+Computer+Graphics+and+Interactive+Techniques%22&amp;btnG=")</f>
        <v>https://scholar.google.com/scholar?hl=pt-BR&amp;as_sdt=0%2C5&amp;as_ylo=2020&amp;as_yhi=2024&amp;q=%22ACM+International+Conference+on+Computer+Graphics+and+Interactive+Techniques%22&amp;btnG=</v>
      </c>
      <c r="I74" s="60" t="str">
        <f>IFERROR(__xludf.DUMMYFUNCTION("""COMPUTED_VALUE"""),"https://dblp.org/db/conf/siggraph/index.html")</f>
        <v>https://dblp.org/db/conf/siggraph/index.html</v>
      </c>
    </row>
    <row r="75">
      <c r="A75" s="68" t="str">
        <f>IFERROR(__xludf.DUMMYFUNCTION("""COMPUTED_VALUE"""),"Eventos da Área")</f>
        <v>Eventos da Área</v>
      </c>
      <c r="B75" t="str">
        <f>IFERROR(__xludf.DUMMYFUNCTION("""COMPUTED_VALUE"""),"DSAI")</f>
        <v>DSAI</v>
      </c>
      <c r="C75" t="str">
        <f>IFERROR(__xludf.DUMMYFUNCTION("""COMPUTED_VALUE"""),"International Conference on Software Development for Enhancing Accessibility and Fighting Info-exclusion")</f>
        <v>International Conference on Software Development for Enhancing Accessibility and Fighting Info-exclusion</v>
      </c>
      <c r="D75">
        <f>IFERROR(__xludf.DUMMYFUNCTION("""COMPUTED_VALUE"""),8.0)</f>
        <v>8</v>
      </c>
      <c r="E75" s="147" t="str">
        <f>IFERROR(__xludf.DUMMYFUNCTION("""COMPUTED_VALUE"""),"https://scholar.google.com/scholar?hl=pt-BR&amp;as_sdt=0%2C5&amp;as_ylo=2020&amp;as_yhi=2024&amp;q=%22International+Conference+on+Software+Development+for+Enhancing+Accessibility+and+Fighting+Info-exclusion%22&amp;btnG=")</f>
        <v>https://scholar.google.com/scholar?hl=pt-BR&amp;as_sdt=0%2C5&amp;as_ylo=2020&amp;as_yhi=2024&amp;q=%22International+Conference+on+Software+Development+for+Enhancing+Accessibility+and+Fighting+Info-exclusion%22&amp;btnG=</v>
      </c>
      <c r="I75" s="60" t="str">
        <f>IFERROR(__xludf.DUMMYFUNCTION("""COMPUTED_VALUE"""),"https://dblp.org/db/conf/dsai/index.html")</f>
        <v>https://dblp.org/db/conf/dsai/index.html</v>
      </c>
    </row>
    <row r="76">
      <c r="A76" s="68" t="str">
        <f>IFERROR(__xludf.DUMMYFUNCTION("""COMPUTED_VALUE"""),"Eventos da Área")</f>
        <v>Eventos da Área</v>
      </c>
      <c r="B76" t="str">
        <f>IFERROR(__xludf.DUMMYFUNCTION("""COMPUTED_VALUE"""),"Eurohaptics")</f>
        <v>Eurohaptics</v>
      </c>
      <c r="C76" t="str">
        <f>IFERROR(__xludf.DUMMYFUNCTION("""COMPUTED_VALUE"""),"Eurohaptics")</f>
        <v>Eurohaptics</v>
      </c>
      <c r="D76">
        <f>IFERROR(__xludf.DUMMYFUNCTION("""COMPUTED_VALUE"""),7.0)</f>
        <v>7</v>
      </c>
      <c r="E76" s="147" t="str">
        <f>IFERROR(__xludf.DUMMYFUNCTION("""COMPUTED_VALUE"""),"https://scholar.google.com/scholar?hl=pt-BR&amp;as_sdt=0%2C5&amp;as_ylo=2020&amp;as_yhi=2024&amp;q=%22Eurohaptics+%22&amp;btnG=")</f>
        <v>https://scholar.google.com/scholar?hl=pt-BR&amp;as_sdt=0%2C5&amp;as_ylo=2020&amp;as_yhi=2024&amp;q=%22Eurohaptics+%22&amp;btnG=</v>
      </c>
      <c r="I76" s="60" t="str">
        <f>IFERROR(__xludf.DUMMYFUNCTION("""COMPUTED_VALUE"""),"https://dblp.org/db/conf/eurohaptics/index.html")</f>
        <v>https://dblp.org/db/conf/eurohaptics/index.html</v>
      </c>
    </row>
    <row r="77">
      <c r="A77" s="68" t="str">
        <f>IFERROR(__xludf.DUMMYFUNCTION("""COMPUTED_VALUE"""),"Eventos da Área")</f>
        <v>Eventos da Área</v>
      </c>
      <c r="B77" t="str">
        <f>IFERROR(__xludf.DUMMYFUNCTION("""COMPUTED_VALUE"""),"CollabTech")</f>
        <v>CollabTech</v>
      </c>
      <c r="C77" t="str">
        <f>IFERROR(__xludf.DUMMYFUNCTION("""COMPUTED_VALUE"""),"International Conference on Collaboration Technologies and Social Computing")</f>
        <v>International Conference on Collaboration Technologies and Social Computing</v>
      </c>
      <c r="D77">
        <f>IFERROR(__xludf.DUMMYFUNCTION("""COMPUTED_VALUE"""),5.0)</f>
        <v>5</v>
      </c>
      <c r="E77" s="147" t="str">
        <f>IFERROR(__xludf.DUMMYFUNCTION("""COMPUTED_VALUE"""),"https://scholar.google.com/scholar?hl=pt-BR&amp;as_sdt=0%2C5&amp;as_ylo=2020&amp;as_yhi=2024&amp;q=%22International+Conference+on+Collaboration+Technologies+and+Social+Computing%22&amp;btnG=")</f>
        <v>https://scholar.google.com/scholar?hl=pt-BR&amp;as_sdt=0%2C5&amp;as_ylo=2020&amp;as_yhi=2024&amp;q=%22International+Conference+on+Collaboration+Technologies+and+Social+Computing%22&amp;btnG=</v>
      </c>
      <c r="F77" t="str">
        <f>IFERROR(__xludf.DUMMYFUNCTION("""COMPUTED_VALUE"""),"CRIWG")</f>
        <v>CRIWG</v>
      </c>
      <c r="G77" t="str">
        <f>IFERROR(__xludf.DUMMYFUNCTION("""COMPUTED_VALUE"""),"Collaboration Technologies and Social Computing")</f>
        <v>Collaboration Technologies and Social Computing</v>
      </c>
      <c r="I77" s="60" t="str">
        <f>IFERROR(__xludf.DUMMYFUNCTION("""COMPUTED_VALUE"""),"https://dblp.org/db/conf/collabtech/index.html")</f>
        <v>https://dblp.org/db/conf/collabtech/index.html</v>
      </c>
    </row>
    <row r="78">
      <c r="A78" s="68" t="str">
        <f>IFERROR(__xludf.DUMMYFUNCTION("""COMPUTED_VALUE"""),"Eventos da Área")</f>
        <v>Eventos da Área</v>
      </c>
      <c r="B78" t="str">
        <f>IFERROR(__xludf.DUMMYFUNCTION("""COMPUTED_VALUE"""),"AVI")</f>
        <v>AVI</v>
      </c>
      <c r="C78" t="str">
        <f>IFERROR(__xludf.DUMMYFUNCTION("""COMPUTED_VALUE"""),"Working Conference on Advanced Visual Interfaces ")</f>
        <v>Working Conference on Advanced Visual Interfaces </v>
      </c>
      <c r="D78">
        <f>IFERROR(__xludf.DUMMYFUNCTION("""COMPUTED_VALUE"""),0.0)</f>
        <v>0</v>
      </c>
      <c r="E78" s="147" t="str">
        <f>IFERROR(__xludf.DUMMYFUNCTION("""COMPUTED_VALUE"""),"https://scholar.google.com/scholar?hl=pt-BR&amp;as_sdt=0%2C5&amp;as_ylo=2020&amp;as_yhi=2024&amp;q=%22Working+Conference+on+Advanced+Visual+Interfaces%22&amp;btnG=")</f>
        <v>https://scholar.google.com/scholar?hl=pt-BR&amp;as_sdt=0%2C5&amp;as_ylo=2020&amp;as_yhi=2024&amp;q=%22Working+Conference+on+Advanced+Visual+Interfaces%22&amp;btnG=</v>
      </c>
      <c r="I78" s="60" t="str">
        <f>IFERROR(__xludf.DUMMYFUNCTION("""COMPUTED_VALUE"""),"https://dblp.org/db/conf/avi/index.html")</f>
        <v>https://dblp.org/db/conf/avi/index.html</v>
      </c>
    </row>
    <row r="79">
      <c r="A79" s="68" t="str">
        <f>IFERROR(__xludf.DUMMYFUNCTION("""COMPUTED_VALUE"""),"Eventos da Área")</f>
        <v>Eventos da Área</v>
      </c>
      <c r="B79" t="str">
        <f>IFERROR(__xludf.DUMMYFUNCTION("""COMPUTED_VALUE"""),"ICISO")</f>
        <v>ICISO</v>
      </c>
      <c r="C79" t="str">
        <f>IFERROR(__xludf.DUMMYFUNCTION("""COMPUTED_VALUE"""),"IFIP International Conference on Informatics and Semiotics in Organisations")</f>
        <v>IFIP International Conference on Informatics and Semiotics in Organisations</v>
      </c>
      <c r="D79">
        <f>IFERROR(__xludf.DUMMYFUNCTION("""COMPUTED_VALUE"""),0.0)</f>
        <v>0</v>
      </c>
      <c r="E79" s="147" t="str">
        <f>IFERROR(__xludf.DUMMYFUNCTION("""COMPUTED_VALUE"""),"https://scholar.google.com/scholar?hl=pt-BR&amp;as_sdt=0%2C5&amp;as_ylo=2020&amp;as_yhi=2024&amp;q=%22IFIP+International+Conference+on+Informatics+and+Semiotics+in+Organisations%22&amp;btnG=")</f>
        <v>https://scholar.google.com/scholar?hl=pt-BR&amp;as_sdt=0%2C5&amp;as_ylo=2020&amp;as_yhi=2024&amp;q=%22IFIP+International+Conference+on+Informatics+and+Semiotics+in+Organisations%22&amp;btnG=</v>
      </c>
      <c r="I79" s="60" t="str">
        <f>IFERROR(__xludf.DUMMYFUNCTION("""COMPUTED_VALUE"""),"https://dblp.org/db/conf/iciso/index.html")</f>
        <v>https://dblp.org/db/conf/iciso/index.html</v>
      </c>
    </row>
    <row r="80">
      <c r="A80" s="68" t="str">
        <f>IFERROR(__xludf.DUMMYFUNCTION("""COMPUTED_VALUE"""),"Eventos da Área")</f>
        <v>Eventos da Área</v>
      </c>
      <c r="B80" t="str">
        <f>IFERROR(__xludf.DUMMYFUNCTION("""COMPUTED_VALUE"""),"IHM")</f>
        <v>IHM</v>
      </c>
      <c r="C80" t="str">
        <f>IFERROR(__xludf.DUMMYFUNCTION("""COMPUTED_VALUE"""),"Conférence Francophone sur l’Interaction Homme-Machin")</f>
        <v>Conférence Francophone sur l’Interaction Homme-Machin</v>
      </c>
      <c r="D80">
        <f>IFERROR(__xludf.DUMMYFUNCTION("""COMPUTED_VALUE"""),0.0)</f>
        <v>0</v>
      </c>
      <c r="E80" s="147" t="str">
        <f>IFERROR(__xludf.DUMMYFUNCTION("""COMPUTED_VALUE"""),"https://scholar.google.com/scholar?hl=pt-BR&amp;as_sdt=0%2C5&amp;as_ylo=2020&amp;as_yhi=2024&amp;q=%22Conf%C3%A9rence+Francophone+sur+l%E2%80%99Interaction+Homme-Machin%22&amp;btnG=")</f>
        <v>https://scholar.google.com/scholar?hl=pt-BR&amp;as_sdt=0%2C5&amp;as_ylo=2020&amp;as_yhi=2024&amp;q=%22Conf%C3%A9rence+Francophone+sur+l%E2%80%99Interaction+Homme-Machin%22&amp;btnG=</v>
      </c>
      <c r="I80" s="60" t="str">
        <f>IFERROR(__xludf.DUMMYFUNCTION("""COMPUTED_VALUE"""),"https://dblp.org/db/conf/ihm/index.html")</f>
        <v>https://dblp.org/db/conf/ihm/index.html</v>
      </c>
    </row>
    <row r="81">
      <c r="A81" s="68" t="str">
        <f>IFERROR(__xludf.DUMMYFUNCTION("""COMPUTED_VALUE"""),"Eventos da Área")</f>
        <v>Eventos da Área</v>
      </c>
      <c r="B81" t="str">
        <f>IFERROR(__xludf.DUMMYFUNCTION("""COMPUTED_VALUE"""),"HT")</f>
        <v>HT</v>
      </c>
      <c r="C81" t="str">
        <f>IFERROR(__xludf.DUMMYFUNCTION("""COMPUTED_VALUE"""),"ACM Conference on Hypertext and Social Media")</f>
        <v>ACM Conference on Hypertext and Social Media</v>
      </c>
      <c r="D81">
        <f>IFERROR(__xludf.DUMMYFUNCTION("""COMPUTED_VALUE"""),0.0)</f>
        <v>0</v>
      </c>
      <c r="E81" s="147" t="str">
        <f>IFERROR(__xludf.DUMMYFUNCTION("""COMPUTED_VALUE"""),"https://scholar.google.com/scholar?hl=pt-BR&amp;as_sdt=0%2C5&amp;as_ylo=2020&amp;as_yhi=2024&amp;q=%22ACM+Conference+on+Hypertext+and+Social+Media%22&amp;btnG=")</f>
        <v>https://scholar.google.com/scholar?hl=pt-BR&amp;as_sdt=0%2C5&amp;as_ylo=2020&amp;as_yhi=2024&amp;q=%22ACM+Conference+on+Hypertext+and+Social+Media%22&amp;btnG=</v>
      </c>
      <c r="I81" s="60" t="str">
        <f>IFERROR(__xludf.DUMMYFUNCTION("""COMPUTED_VALUE"""),"https://dblp.org/db/conf/ht/index.html")</f>
        <v>https://dblp.org/db/conf/ht/index.html</v>
      </c>
    </row>
    <row r="82">
      <c r="A82" s="68" t="str">
        <f>IFERROR(__xludf.DUMMYFUNCTION("""COMPUTED_VALUE"""),"Eventos da Área")</f>
        <v>Eventos da Área</v>
      </c>
      <c r="B82" t="str">
        <f>IFERROR(__xludf.DUMMYFUNCTION("""COMPUTED_VALUE"""),"ACHI")</f>
        <v>ACHI</v>
      </c>
      <c r="C82" t="str">
        <f>IFERROR(__xludf.DUMMYFUNCTION("""COMPUTED_VALUE"""),"International Conference on Advances in Computer-Human Interaction")</f>
        <v>International Conference on Advances in Computer-Human Interaction</v>
      </c>
      <c r="D82">
        <f>IFERROR(__xludf.DUMMYFUNCTION("""COMPUTED_VALUE"""),0.0)</f>
        <v>0</v>
      </c>
      <c r="E82" s="147" t="str">
        <f>IFERROR(__xludf.DUMMYFUNCTION("""COMPUTED_VALUE"""),"https://scholar.google.com/scholar?hl=pt-BR&amp;as_sdt=0%2C5&amp;as_ylo=2020&amp;as_yhi=2024&amp;q=%22International+Conference+on+Advances+in+Computer-Human+Interaction%22&amp;btnG=")</f>
        <v>https://scholar.google.com/scholar?hl=pt-BR&amp;as_sdt=0%2C5&amp;as_ylo=2020&amp;as_yhi=2024&amp;q=%22International+Conference+on+Advances+in+Computer-Human+Interaction%22&amp;btnG=</v>
      </c>
      <c r="F82" t="str">
        <f>IFERROR(__xludf.DUMMYFUNCTION("""COMPUTED_VALUE"""),"IARIA")</f>
        <v>IARIA</v>
      </c>
      <c r="I82" s="60" t="str">
        <f>IFERROR(__xludf.DUMMYFUNCTION("""COMPUTED_VALUE"""),"https://dblp.org/db/conf/iaria/index.html")</f>
        <v>https://dblp.org/db/conf/iaria/index.html</v>
      </c>
    </row>
    <row r="83">
      <c r="A83" s="68" t="str">
        <f>IFERROR(__xludf.DUMMYFUNCTION("""COMPUTED_VALUE"""),"Eventos da Área")</f>
        <v>Eventos da Área</v>
      </c>
      <c r="B83" t="str">
        <f>IFERROR(__xludf.DUMMYFUNCTION("""COMPUTED_VALUE"""),"WAIHCWS")</f>
        <v>WAIHCWS</v>
      </c>
      <c r="C83" t="str">
        <f>IFERROR(__xludf.DUMMYFUNCTION("""COMPUTED_VALUE"""),"Workshop sobre Aspectos da Interação Humano-Computador para a Web Social")</f>
        <v>Workshop sobre Aspectos da Interação Humano-Computador para a Web Social</v>
      </c>
      <c r="D83">
        <f>IFERROR(__xludf.DUMMYFUNCTION("""COMPUTED_VALUE"""),0.0)</f>
        <v>0</v>
      </c>
      <c r="E83" s="147" t="str">
        <f>IFERROR(__xludf.DUMMYFUNCTION("""COMPUTED_VALUE"""),"https://scholar.google.com/scholar?hl=pt-BR&amp;as_sdt=0%2C5&amp;as_ylo=2020&amp;as_yhi=2024&amp;q=%22Workshop+sobre+Aspectos+da+Intera%C3%A7%C3%A3o+Humano-Computador+para+a+Web+Social%22&amp;btnG=")</f>
        <v>https://scholar.google.com/scholar?hl=pt-BR&amp;as_sdt=0%2C5&amp;as_ylo=2020&amp;as_yhi=2024&amp;q=%22Workshop+sobre+Aspectos+da+Intera%C3%A7%C3%A3o+Humano-Computador+para+a+Web+Social%22&amp;btnG=</v>
      </c>
      <c r="I83" s="60" t="str">
        <f>IFERROR(__xludf.DUMMYFUNCTION("""COMPUTED_VALUE"""),"https://dblp.org/rec/conf/ihc/2017waihcws.html")</f>
        <v>https://dblp.org/rec/conf/ihc/2017waihcws.html</v>
      </c>
      <c r="J83" s="60" t="str">
        <f>IFERROR(__xludf.DUMMYFUNCTION("""COMPUTED_VALUE"""),"https://sol.sbc.org.br/index.php/waihcws/issue/archive")</f>
        <v>https://sol.sbc.org.br/index.php/waihcws/issue/archive</v>
      </c>
    </row>
    <row r="84">
      <c r="A84" s="68" t="str">
        <f>IFERROR(__xludf.DUMMYFUNCTION("""COMPUTED_VALUE"""),"Eventos da Área")</f>
        <v>Eventos da Área</v>
      </c>
      <c r="B84" t="str">
        <f>IFERROR(__xludf.DUMMYFUNCTION("""COMPUTED_VALUE"""),"CSBC")</f>
        <v>CSBC</v>
      </c>
      <c r="C84" t="str">
        <f>IFERROR(__xludf.DUMMYFUNCTION("""COMPUTED_VALUE"""),"Congresso da Sociedade Brasileira de Computação")</f>
        <v>Congresso da Sociedade Brasileira de Computação</v>
      </c>
      <c r="D84">
        <f>IFERROR(__xludf.DUMMYFUNCTION("""COMPUTED_VALUE"""),0.0)</f>
        <v>0</v>
      </c>
      <c r="E84" s="147" t="str">
        <f>IFERROR(__xludf.DUMMYFUNCTION("""COMPUTED_VALUE"""),"https://scholar.google.com/scholar?hl=pt-BR&amp;as_sdt=0%2C5&amp;as_ylo=2020&amp;as_yhi=2024&amp;q=%22Congresso+da+Sociedade+Brasileira+de+Computa%C3%A7%C3%A3o%22&amp;btnG=")</f>
        <v>https://scholar.google.com/scholar?hl=pt-BR&amp;as_sdt=0%2C5&amp;as_ylo=2020&amp;as_yhi=2024&amp;q=%22Congresso+da+Sociedade+Brasileira+de+Computa%C3%A7%C3%A3o%22&amp;btnG=</v>
      </c>
      <c r="J84" s="60" t="str">
        <f>IFERROR(__xludf.DUMMYFUNCTION("""COMPUTED_VALUE"""),"https://sol.sbc.org.br/index.php/csbc")</f>
        <v>https://sol.sbc.org.br/index.php/csbc</v>
      </c>
    </row>
    <row r="85">
      <c r="A85" s="68" t="str">
        <f>IFERROR(__xludf.DUMMYFUNCTION("""COMPUTED_VALUE"""),"Eventos da Área")</f>
        <v>Eventos da Área</v>
      </c>
      <c r="B85" t="str">
        <f>IFERROR(__xludf.DUMMYFUNCTION("""COMPUTED_VALUE"""),"HAPTICS")</f>
        <v>HAPTICS</v>
      </c>
      <c r="C85" t="str">
        <f>IFERROR(__xludf.DUMMYFUNCTION("""COMPUTED_VALUE"""),"Conference and Symposium on Haptic Interfaces for Virtual Environment and Teleoperator Systems")</f>
        <v>Conference and Symposium on Haptic Interfaces for Virtual Environment and Teleoperator Systems</v>
      </c>
      <c r="D85">
        <f>IFERROR(__xludf.DUMMYFUNCTION("""COMPUTED_VALUE"""),0.0)</f>
        <v>0</v>
      </c>
      <c r="E85" s="147" t="str">
        <f>IFERROR(__xludf.DUMMYFUNCTION("""COMPUTED_VALUE"""),"https://scholar.google.com/scholar?hl=pt-BR&amp;as_sdt=0%2C5&amp;as_ylo=2020&amp;as_yhi=2024&amp;q=%22Conference+and+Symposium+on+Haptic+Interfaces+for+Virtual+Environment+and+Teleoperator+Systems%22&amp;btnG=")</f>
        <v>https://scholar.google.com/scholar?hl=pt-BR&amp;as_sdt=0%2C5&amp;as_ylo=2020&amp;as_yhi=2024&amp;q=%22Conference+and+Symposium+on+Haptic+Interfaces+for+Virtual+Environment+and+Teleoperator+Systems%22&amp;btnG=</v>
      </c>
      <c r="G85" t="str">
        <f>IFERROR(__xludf.DUMMYFUNCTION("""COMPUTED_VALUE"""),"IEEE Haptics Symposium")</f>
        <v>IEEE Haptics Symposium</v>
      </c>
      <c r="I85" s="60" t="str">
        <f>IFERROR(__xludf.DUMMYFUNCTION("""COMPUTED_VALUE"""),"https://dblp.org/db/conf/haptics/index.html")</f>
        <v>https://dblp.org/db/conf/haptics/index.html</v>
      </c>
    </row>
    <row r="86">
      <c r="A86" s="68" t="str">
        <f>IFERROR(__xludf.DUMMYFUNCTION("""COMPUTED_VALUE"""),"Eventos da Área")</f>
        <v>Eventos da Área</v>
      </c>
      <c r="B86" t="str">
        <f>IFERROR(__xludf.DUMMYFUNCTION("""COMPUTED_VALUE"""),"SustainIT")</f>
        <v>SustainIT</v>
      </c>
      <c r="C86" t="str">
        <f>IFERROR(__xludf.DUMMYFUNCTION("""COMPUTED_VALUE"""),"Conference on Sustainable Internet and ICT for Sustainability")</f>
        <v>Conference on Sustainable Internet and ICT for Sustainability</v>
      </c>
      <c r="D86">
        <f>IFERROR(__xludf.DUMMYFUNCTION("""COMPUTED_VALUE"""),0.0)</f>
        <v>0</v>
      </c>
      <c r="E86" s="147" t="str">
        <f>IFERROR(__xludf.DUMMYFUNCTION("""COMPUTED_VALUE"""),"https://scholar.google.com/scholar?hl=pt-BR&amp;as_sdt=0%2C5&amp;as_ylo=2020&amp;as_yhi=2024&amp;q=%22Conference+on+Sustainable+Internet+and+ICT+for+Sustainability%22&amp;btnG=")</f>
        <v>https://scholar.google.com/scholar?hl=pt-BR&amp;as_sdt=0%2C5&amp;as_ylo=2020&amp;as_yhi=2024&amp;q=%22Conference+on+Sustainable+Internet+and+ICT+for+Sustainability%22&amp;btnG=</v>
      </c>
      <c r="I86" s="60" t="str">
        <f>IFERROR(__xludf.DUMMYFUNCTION("""COMPUTED_VALUE"""),"https://dblp.org/db/conf/ifip6-3/index.html")</f>
        <v>https://dblp.org/db/conf/ifip6-3/index.html</v>
      </c>
    </row>
    <row r="87">
      <c r="A87" s="68" t="str">
        <f>IFERROR(__xludf.DUMMYFUNCTION("""COMPUTED_VALUE"""),"Eventos da Área")</f>
        <v>Eventos da Área</v>
      </c>
      <c r="B87" t="str">
        <f>IFERROR(__xludf.DUMMYFUNCTION("""COMPUTED_VALUE"""),"EGOVIS")</f>
        <v>EGOVIS</v>
      </c>
      <c r="C87" t="str">
        <f>IFERROR(__xludf.DUMMYFUNCTION("""COMPUTED_VALUE"""),"Electronic Government and the Information Systems Perspective")</f>
        <v>Electronic Government and the Information Systems Perspective</v>
      </c>
      <c r="D87">
        <f>IFERROR(__xludf.DUMMYFUNCTION("""COMPUTED_VALUE"""),0.0)</f>
        <v>0</v>
      </c>
      <c r="E87" s="147" t="str">
        <f>IFERROR(__xludf.DUMMYFUNCTION("""COMPUTED_VALUE"""),"https://scholar.google.com/scholar?hl=pt-BR&amp;as_sdt=0%2C5&amp;as_ylo=2020&amp;as_yhi=2024&amp;q=%22Electronic+Government+and+the+Information+Systems+Perspective%22&amp;btnG=")</f>
        <v>https://scholar.google.com/scholar?hl=pt-BR&amp;as_sdt=0%2C5&amp;as_ylo=2020&amp;as_yhi=2024&amp;q=%22Electronic+Government+and+the+Information+Systems+Perspective%22&amp;btnG=</v>
      </c>
      <c r="I87" s="60" t="str">
        <f>IFERROR(__xludf.DUMMYFUNCTION("""COMPUTED_VALUE"""),"https://dblp.org/db/conf/egovis/index.html")</f>
        <v>https://dblp.org/db/conf/egovis/index.html</v>
      </c>
    </row>
    <row r="88">
      <c r="A88" s="68" t="str">
        <f>IFERROR(__xludf.DUMMYFUNCTION("""COMPUTED_VALUE"""),"Eventos da Área")</f>
        <v>Eventos da Área</v>
      </c>
      <c r="B88" t="str">
        <f>IFERROR(__xludf.DUMMYFUNCTION("""COMPUTED_VALUE"""),"LA-WEB")</f>
        <v>LA-WEB</v>
      </c>
      <c r="C88" t="str">
        <f>IFERROR(__xludf.DUMMYFUNCTION("""COMPUTED_VALUE"""),"Latin American Web Congress")</f>
        <v>Latin American Web Congress</v>
      </c>
      <c r="D88">
        <f>IFERROR(__xludf.DUMMYFUNCTION("""COMPUTED_VALUE"""),0.0)</f>
        <v>0</v>
      </c>
      <c r="E88" s="147" t="str">
        <f>IFERROR(__xludf.DUMMYFUNCTION("""COMPUTED_VALUE"""),"https://scholar.google.com/scholar?hl=pt-BR&amp;as_sdt=0%2C5&amp;as_ylo=2020&amp;as_yhi=2024&amp;q=%22Latin+American+Web+Congress%22&amp;btnG=")</f>
        <v>https://scholar.google.com/scholar?hl=pt-BR&amp;as_sdt=0%2C5&amp;as_ylo=2020&amp;as_yhi=2024&amp;q=%22Latin+American+Web+Congress%22&amp;btnG=</v>
      </c>
      <c r="I88" s="60" t="str">
        <f>IFERROR(__xludf.DUMMYFUNCTION("""COMPUTED_VALUE"""),"https://dblp.org/db/conf/la-web/index.html")</f>
        <v>https://dblp.org/db/conf/la-web/index.html</v>
      </c>
    </row>
    <row r="89">
      <c r="A89" s="68" t="str">
        <f>IFERROR(__xludf.DUMMYFUNCTION("""COMPUTED_VALUE"""),"Eventos da Área")</f>
        <v>Eventos da Área</v>
      </c>
      <c r="B89" t="str">
        <f>IFERROR(__xludf.DUMMYFUNCTION("""COMPUTED_VALUE"""),"HCSE")</f>
        <v>HCSE</v>
      </c>
      <c r="C89" t="str">
        <f>IFERROR(__xludf.DUMMYFUNCTION("""COMPUTED_VALUE"""),"International Working Conference on Human-Centered Software Engineering")</f>
        <v>International Working Conference on Human-Centered Software Engineering</v>
      </c>
      <c r="D89">
        <f>IFERROR(__xludf.DUMMYFUNCTION("""COMPUTED_VALUE"""),0.0)</f>
        <v>0</v>
      </c>
      <c r="E89" s="147" t="str">
        <f>IFERROR(__xludf.DUMMYFUNCTION("""COMPUTED_VALUE"""),"https://scholar.google.com/scholar?hl=pt-BR&amp;as_sdt=0%2C5&amp;as_ylo=2020&amp;as_yhi=2024&amp;q=%22International+Working+Conference+on+Human-Centered+Software+Engineering%22&amp;btnG=")</f>
        <v>https://scholar.google.com/scholar?hl=pt-BR&amp;as_sdt=0%2C5&amp;as_ylo=2020&amp;as_yhi=2024&amp;q=%22International+Working+Conference+on+Human-Centered+Software+Engineering%22&amp;btnG=</v>
      </c>
      <c r="I89" s="60" t="str">
        <f>IFERROR(__xludf.DUMMYFUNCTION("""COMPUTED_VALUE"""),"https://dblp.org/db/conf/hcse/index.html")</f>
        <v>https://dblp.org/db/conf/hcse/index.html</v>
      </c>
    </row>
    <row r="90">
      <c r="A90" s="68" t="str">
        <f>IFERROR(__xludf.DUMMYFUNCTION("""COMPUTED_VALUE"""),"Eventos da Área")</f>
        <v>Eventos da Área</v>
      </c>
      <c r="B90" t="str">
        <f>IFERROR(__xludf.DUMMYFUNCTION("""COMPUTED_VALUE"""),"i3D")</f>
        <v>i3D</v>
      </c>
      <c r="C90" t="str">
        <f>IFERROR(__xludf.DUMMYFUNCTION("""COMPUTED_VALUE"""),"Symposium on Interactive 3D Graphics and Games")</f>
        <v>Symposium on Interactive 3D Graphics and Games</v>
      </c>
      <c r="D90">
        <f>IFERROR(__xludf.DUMMYFUNCTION("""COMPUTED_VALUE"""),0.0)</f>
        <v>0</v>
      </c>
      <c r="E90" s="147" t="str">
        <f>IFERROR(__xludf.DUMMYFUNCTION("""COMPUTED_VALUE"""),"https://scholar.google.com/scholar?hl=pt-BR&amp;as_sdt=0%2C5&amp;as_ylo=2020&amp;as_yhi=2024&amp;q=%22Symposium+on+Interactive+3D+Graphics+and+Games%22&amp;btnG=")</f>
        <v>https://scholar.google.com/scholar?hl=pt-BR&amp;as_sdt=0%2C5&amp;as_ylo=2020&amp;as_yhi=2024&amp;q=%22Symposium+on+Interactive+3D+Graphics+and+Games%22&amp;btnG=</v>
      </c>
      <c r="F90" t="str">
        <f>IFERROR(__xludf.DUMMYFUNCTION("""COMPUTED_VALUE"""),"SI3D")</f>
        <v>SI3D</v>
      </c>
      <c r="I90" s="60" t="str">
        <f>IFERROR(__xludf.DUMMYFUNCTION("""COMPUTED_VALUE"""),"https://dblp.org/db/conf/si3d/index.html")</f>
        <v>https://dblp.org/db/conf/si3d/index.html</v>
      </c>
    </row>
    <row r="91">
      <c r="A91" s="68" t="str">
        <f>IFERROR(__xludf.DUMMYFUNCTION("""COMPUTED_VALUE"""),"Eventos da Área")</f>
        <v>Eventos da Área</v>
      </c>
      <c r="B91" t="str">
        <f>IFERROR(__xludf.DUMMYFUNCTION("""COMPUTED_VALUE"""),"AAATE")</f>
        <v>AAATE</v>
      </c>
      <c r="C91" t="str">
        <f>IFERROR(__xludf.DUMMYFUNCTION("""COMPUTED_VALUE"""),"Association for the Advancement of Assistive Technology in Europe Conference")</f>
        <v>Association for the Advancement of Assistive Technology in Europe Conference</v>
      </c>
      <c r="D91">
        <f>IFERROR(__xludf.DUMMYFUNCTION("""COMPUTED_VALUE"""),0.0)</f>
        <v>0</v>
      </c>
      <c r="E91" s="147" t="str">
        <f>IFERROR(__xludf.DUMMYFUNCTION("""COMPUTED_VALUE"""),"https://scholar.google.com/scholar?hl=pt-BR&amp;as_sdt=0%2C5&amp;as_ylo=2020&amp;as_yhi=2024&amp;q=%22Association+for+the+Advancement+of+Assistive+Technology+in+Europe+Conference%22&amp;btnG=")</f>
        <v>https://scholar.google.com/scholar?hl=pt-BR&amp;as_sdt=0%2C5&amp;as_ylo=2020&amp;as_yhi=2024&amp;q=%22Association+for+the+Advancement+of+Assistive+Technology+in+Europe+Conference%22&amp;btnG=</v>
      </c>
      <c r="I91" s="60" t="str">
        <f>IFERROR(__xludf.DUMMYFUNCTION("""COMPUTED_VALUE"""),"https://dblp.org/db/conf/aaate/index.html")</f>
        <v>https://dblp.org/db/conf/aaate/index.html</v>
      </c>
    </row>
    <row r="92">
      <c r="A92" s="68" t="str">
        <f>IFERROR(__xludf.DUMMYFUNCTION("""COMPUTED_VALUE"""),"Eventos da Área")</f>
        <v>Eventos da Área</v>
      </c>
      <c r="B92" t="str">
        <f>IFERROR(__xludf.DUMMYFUNCTION("""COMPUTED_VALUE"""),"WEIHC")</f>
        <v>WEIHC</v>
      </c>
      <c r="C92" t="str">
        <f>IFERROR(__xludf.DUMMYFUNCTION("""COMPUTED_VALUE"""),"Workshop sobre Educação em IHC")</f>
        <v>Workshop sobre Educação em IHC</v>
      </c>
      <c r="D92">
        <f>IFERROR(__xludf.DUMMYFUNCTION("""COMPUTED_VALUE"""),0.0)</f>
        <v>0</v>
      </c>
      <c r="E92" s="147" t="str">
        <f>IFERROR(__xludf.DUMMYFUNCTION("""COMPUTED_VALUE"""),"https://scholar.google.com/scholar?hl=pt-BR&amp;as_sdt=0%2C5&amp;as_ylo=2020&amp;as_yhi=2024&amp;q=%22Workshop+sobre+Educa%C3%A7%C3%A3o+em+IHC%22&amp;btnG=")</f>
        <v>https://scholar.google.com/scholar?hl=pt-BR&amp;as_sdt=0%2C5&amp;as_ylo=2020&amp;as_yhi=2024&amp;q=%22Workshop+sobre+Educa%C3%A7%C3%A3o+em+IHC%22&amp;btnG=</v>
      </c>
      <c r="I92" s="60" t="str">
        <f>IFERROR(__xludf.DUMMYFUNCTION("""COMPUTED_VALUE"""),"https://dblp.org/search?q=weihc ")</f>
        <v>https://dblp.org/search?q=weihc </v>
      </c>
      <c r="J92" s="60" t="str">
        <f>IFERROR(__xludf.DUMMYFUNCTION("""COMPUTED_VALUE"""),"https://sol.sbc.org.br/index.php/weihc/issue/archive")</f>
        <v>https://sol.sbc.org.br/index.php/weihc/issue/archive</v>
      </c>
    </row>
    <row r="93">
      <c r="A93" s="68" t="str">
        <f>IFERROR(__xludf.DUMMYFUNCTION("""COMPUTED_VALUE"""),"Eventos da Área")</f>
        <v>Eventos da Área</v>
      </c>
      <c r="B93" t="str">
        <f>IFERROR(__xludf.DUMMYFUNCTION("""COMPUTED_VALUE"""),"WIPLAY")</f>
        <v>WIPLAY</v>
      </c>
      <c r="C93" t="str">
        <f>IFERROR(__xludf.DUMMYFUNCTION("""COMPUTED_VALUE"""),"Workshop sobre Interação e Pesquisa de Usuários no Desenvolvimento de Jogos")</f>
        <v>Workshop sobre Interação e Pesquisa de Usuários no Desenvolvimento de Jogos</v>
      </c>
      <c r="D93">
        <f>IFERROR(__xludf.DUMMYFUNCTION("""COMPUTED_VALUE"""),0.0)</f>
        <v>0</v>
      </c>
      <c r="E93" s="147" t="str">
        <f>IFERROR(__xludf.DUMMYFUNCTION("""COMPUTED_VALUE"""),"https://scholar.google.com/scholar?hl=pt-BR&amp;as_sdt=0%2C5&amp;as_ylo=2020&amp;as_yhi=2024&amp;q=%22Workshop+sobre+Intera%C3%A7%C3%A3o+e+Pesquisa+de+Usu%C3%A1rios+no+Desenvolvimento+de+Jogos%22&amp;btnG=")</f>
        <v>https://scholar.google.com/scholar?hl=pt-BR&amp;as_sdt=0%2C5&amp;as_ylo=2020&amp;as_yhi=2024&amp;q=%22Workshop+sobre+Intera%C3%A7%C3%A3o+e+Pesquisa+de+Usu%C3%A1rios+no+Desenvolvimento+de+Jogos%22&amp;btnG=</v>
      </c>
      <c r="J93" s="60" t="str">
        <f>IFERROR(__xludf.DUMMYFUNCTION("""COMPUTED_VALUE"""),"https://sol.sbc.org.br/index.php/wiplay/issue/archive")</f>
        <v>https://sol.sbc.org.br/index.php/wiplay/issue/archive</v>
      </c>
    </row>
    <row r="94">
      <c r="A94" s="68" t="str">
        <f>IFERROR(__xludf.DUMMYFUNCTION("""COMPUTED_VALUE"""),"Eventos da Área")</f>
        <v>Eventos da Área</v>
      </c>
      <c r="B94" t="str">
        <f>IFERROR(__xludf.DUMMYFUNCTION("""COMPUTED_VALUE"""),"WIDE")</f>
        <v>WIDE</v>
      </c>
      <c r="C94" t="str">
        <f>IFERROR(__xludf.DUMMYFUNCTION("""COMPUTED_VALUE"""),"Workshop on Interactions with Human Experiences")</f>
        <v>Workshop on Interactions with Human Experiences</v>
      </c>
      <c r="D94">
        <f>IFERROR(__xludf.DUMMYFUNCTION("""COMPUTED_VALUE"""),0.0)</f>
        <v>0</v>
      </c>
      <c r="E94" s="147" t="str">
        <f>IFERROR(__xludf.DUMMYFUNCTION("""COMPUTED_VALUE"""),"https://scholar.google.com/scholar?hl=pt-BR&amp;as_sdt=0%2C5&amp;as_ylo=2020&amp;as_yhi=2024&amp;q=%22Workshop+on+Interactions+with+Human+Experiences%22&amp;btnG=")</f>
        <v>https://scholar.google.com/scholar?hl=pt-BR&amp;as_sdt=0%2C5&amp;as_ylo=2020&amp;as_yhi=2024&amp;q=%22Workshop+on+Interactions+with+Human+Experiences%22&amp;btnG=</v>
      </c>
      <c r="J94" s="60" t="str">
        <f>IFERROR(__xludf.DUMMYFUNCTION("""COMPUTED_VALUE"""),"https://sol.sbc.org.br/index.php/wide/issue/archive")</f>
        <v>https://sol.sbc.org.br/index.php/wide/issue/archive</v>
      </c>
    </row>
    <row r="95">
      <c r="A95" s="68" t="str">
        <f>IFERROR(__xludf.DUMMYFUNCTION("""COMPUTED_VALUE"""),"Eventos da Área")</f>
        <v>Eventos da Área</v>
      </c>
      <c r="B95" t="str">
        <f>IFERROR(__xludf.DUMMYFUNCTION("""COMPUTED_VALUE"""),"CapaIHC")</f>
        <v>CapaIHC</v>
      </c>
      <c r="C95" t="str">
        <f>IFERROR(__xludf.DUMMYFUNCTION("""COMPUTED_VALUE"""),"Workshop CAPA - Culturas, Alteridades e Participações em IHC")</f>
        <v>Workshop CAPA - Culturas, Alteridades e Participações em IHC</v>
      </c>
      <c r="D95">
        <f>IFERROR(__xludf.DUMMYFUNCTION("""COMPUTED_VALUE"""),0.0)</f>
        <v>0</v>
      </c>
      <c r="E95" s="147" t="str">
        <f>IFERROR(__xludf.DUMMYFUNCTION("""COMPUTED_VALUE"""),"https://scholar.google.com/scholar?hl=pt-BR&amp;as_sdt=0%2C5&amp;as_ylo=2020&amp;as_yhi=2024&amp;q=%22Workshop+CAPA+-+Culturas%2C+Alteridades+e+Participa%C3%A7%C3%B5es+em+IHC%22&amp;btnG=")</f>
        <v>https://scholar.google.com/scholar?hl=pt-BR&amp;as_sdt=0%2C5&amp;as_ylo=2020&amp;as_yhi=2024&amp;q=%22Workshop+CAPA+-+Culturas%2C+Alteridades+e+Participa%C3%A7%C3%B5es+em+IHC%22&amp;btnG=</v>
      </c>
      <c r="J95" s="60" t="str">
        <f>IFERROR(__xludf.DUMMYFUNCTION("""COMPUTED_VALUE"""),"https://sol.sbc.org.br/index.php/capaihc/issue/archive")</f>
        <v>https://sol.sbc.org.br/index.php/capaihc/issue/archive</v>
      </c>
    </row>
    <row r="96">
      <c r="A96" s="68" t="str">
        <f>IFERROR(__xludf.DUMMYFUNCTION("""COMPUTED_VALUE"""),"Eventos da Área")</f>
        <v>Eventos da Área</v>
      </c>
      <c r="B96" t="str">
        <f>IFERROR(__xludf.DUMMYFUNCTION("""COMPUTED_VALUE"""),"ACM HT")</f>
        <v>ACM HT</v>
      </c>
      <c r="C96" t="str">
        <f>IFERROR(__xludf.DUMMYFUNCTION("""COMPUTED_VALUE"""),"ACM Hypertext Conference / Hipertext")</f>
        <v>ACM Hypertext Conference / Hipertext</v>
      </c>
      <c r="D96">
        <f>IFERROR(__xludf.DUMMYFUNCTION("""COMPUTED_VALUE"""),0.0)</f>
        <v>0</v>
      </c>
      <c r="E96" s="147" t="str">
        <f>IFERROR(__xludf.DUMMYFUNCTION("""COMPUTED_VALUE"""),"https://scholar.google.com/scholar?hl=pt-BR&amp;as_sdt=0%2C5&amp;as_ylo=2020&amp;as_yhi=2024&amp;q=%22ACM+Hypertext+Conference+%2F+Hipertext%22&amp;btnG=")</f>
        <v>https://scholar.google.com/scholar?hl=pt-BR&amp;as_sdt=0%2C5&amp;as_ylo=2020&amp;as_yhi=2024&amp;q=%22ACM+Hypertext+Conference+%2F+Hipertext%22&amp;btnG=</v>
      </c>
      <c r="I96" s="60" t="str">
        <f>IFERROR(__xludf.DUMMYFUNCTION("""COMPUTED_VALUE"""),"https://dblp.org/db/conf/ht/index.html")</f>
        <v>https://dblp.org/db/conf/ht/index.html</v>
      </c>
    </row>
    <row r="97">
      <c r="A97" s="68" t="str">
        <f>IFERROR(__xludf.DUMMYFUNCTION("""COMPUTED_VALUE"""),"Eventos da Área")</f>
        <v>Eventos da Área</v>
      </c>
      <c r="B97" t="str">
        <f>IFERROR(__xludf.DUMMYFUNCTION("""COMPUTED_VALUE"""),"WASHES")</f>
        <v>WASHES</v>
      </c>
      <c r="C97" t="str">
        <f>IFERROR(__xludf.DUMMYFUNCTION("""COMPUTED_VALUE"""),"Workshop sobre Aspectos Sociais, Humanos e Econômicos de Software")</f>
        <v>Workshop sobre Aspectos Sociais, Humanos e Econômicos de Software</v>
      </c>
      <c r="D97">
        <f>IFERROR(__xludf.DUMMYFUNCTION("""COMPUTED_VALUE"""),0.0)</f>
        <v>0</v>
      </c>
      <c r="E97" s="147" t="str">
        <f>IFERROR(__xludf.DUMMYFUNCTION("""COMPUTED_VALUE"""),"https://scholar.google.com/scholar?hl=pt-BR&amp;as_sdt=0%2C5&amp;as_ylo=2020&amp;as_yhi=2024&amp;q=%22Workshop+sobre+Aspectos+Sociais%2C+Humanos+e+Econ%C3%B4micos+de+Software%22&amp;btnG=")</f>
        <v>https://scholar.google.com/scholar?hl=pt-BR&amp;as_sdt=0%2C5&amp;as_ylo=2020&amp;as_yhi=2024&amp;q=%22Workshop+sobre+Aspectos+Sociais%2C+Humanos+e+Econ%C3%B4micos+de+Software%22&amp;btnG=</v>
      </c>
      <c r="J97" s="60" t="str">
        <f>IFERROR(__xludf.DUMMYFUNCTION("""COMPUTED_VALUE"""),"https://sol.sbc.org.br/index.php/washes/issue/archive")</f>
        <v>https://sol.sbc.org.br/index.php/washes/issue/archive</v>
      </c>
    </row>
    <row r="98">
      <c r="A98" s="68" t="str">
        <f>IFERROR(__xludf.DUMMYFUNCTION("""COMPUTED_VALUE"""),"Eventos da Área")</f>
        <v>Eventos da Área</v>
      </c>
      <c r="B98" t="str">
        <f>IFERROR(__xludf.DUMMYFUNCTION("""COMPUTED_VALUE"""),"USIHC")</f>
        <v>USIHC</v>
      </c>
      <c r="C98" t="str">
        <f>IFERROR(__xludf.DUMMYFUNCTION("""COMPUTED_VALUE"""),"Congresso Internacional de Ergonomia e Usabilidade de Interfaces Humano Computador")</f>
        <v>Congresso Internacional de Ergonomia e Usabilidade de Interfaces Humano Computador</v>
      </c>
      <c r="D98">
        <f>IFERROR(__xludf.DUMMYFUNCTION("""COMPUTED_VALUE"""),0.0)</f>
        <v>0</v>
      </c>
      <c r="E98" s="147" t="str">
        <f>IFERROR(__xludf.DUMMYFUNCTION("""COMPUTED_VALUE"""),"https://scholar.google.com/scholar?hl=pt-BR&amp;as_sdt=0%2C5&amp;as_ylo=2020&amp;as_yhi=2024&amp;q=%22Congresso+Internacional+de+Ergonomia+e+Usabilidade+de+Interfaces+Humano+Computador%22&amp;btnG=")</f>
        <v>https://scholar.google.com/scholar?hl=pt-BR&amp;as_sdt=0%2C5&amp;as_ylo=2020&amp;as_yhi=2024&amp;q=%22Congresso+Internacional+de+Ergonomia+e+Usabilidade+de+Interfaces+Humano+Computador%22&amp;btnG=</v>
      </c>
    </row>
    <row r="99">
      <c r="A99" s="68" t="str">
        <f>IFERROR(__xludf.DUMMYFUNCTION("""COMPUTED_VALUE"""),"Eventos da Área")</f>
        <v>Eventos da Área</v>
      </c>
      <c r="B99" t="str">
        <f>IFERROR(__xludf.DUMMYFUNCTION("""COMPUTED_VALUE"""),"ABCIBER")</f>
        <v>ABCIBER</v>
      </c>
      <c r="C99" t="str">
        <f>IFERROR(__xludf.DUMMYFUNCTION("""COMPUTED_VALUE"""),"Congresso Brasileiro de Pesquisadores em Cibercultura")</f>
        <v>Congresso Brasileiro de Pesquisadores em Cibercultura</v>
      </c>
      <c r="D99">
        <f>IFERROR(__xludf.DUMMYFUNCTION("""COMPUTED_VALUE"""),0.0)</f>
        <v>0</v>
      </c>
      <c r="E99" s="147" t="str">
        <f>IFERROR(__xludf.DUMMYFUNCTION("""COMPUTED_VALUE"""),"https://scholar.google.com/scholar?hl=pt-BR&amp;as_sdt=0%2C5&amp;as_ylo=2020&amp;as_yhi=2024&amp;q=%22Congresso+Brasileiro+de+Pesquisadores+em+Cibercultura%22&amp;btnG=")</f>
        <v>https://scholar.google.com/scholar?hl=pt-BR&amp;as_sdt=0%2C5&amp;as_ylo=2020&amp;as_yhi=2024&amp;q=%22Congresso+Brasileiro+de+Pesquisadores+em+Cibercultura%22&amp;btnG=</v>
      </c>
    </row>
    <row r="100">
      <c r="A100" s="68" t="str">
        <f>IFERROR(__xludf.DUMMYFUNCTION("""COMPUTED_VALUE"""),"Eventos da Área")</f>
        <v>Eventos da Área</v>
      </c>
      <c r="B100" t="str">
        <f>IFERROR(__xludf.DUMMYFUNCTION("""COMPUTED_VALUE"""),"CIDI")</f>
        <v>CIDI</v>
      </c>
      <c r="C100" t="str">
        <f>IFERROR(__xludf.DUMMYFUNCTION("""COMPUTED_VALUE"""),"Congresso Internacional de Design da Informação")</f>
        <v>Congresso Internacional de Design da Informação</v>
      </c>
      <c r="D100">
        <f>IFERROR(__xludf.DUMMYFUNCTION("""COMPUTED_VALUE"""),0.0)</f>
        <v>0</v>
      </c>
      <c r="E100" s="147" t="str">
        <f>IFERROR(__xludf.DUMMYFUNCTION("""COMPUTED_VALUE"""),"https://scholar.google.com/scholar?hl=pt-BR&amp;as_sdt=0%2C5&amp;as_ylo=2020&amp;as_yhi=2024&amp;q=%22Congresso+Internacional+de+Design+da+Informa%C3%A7%C3%A3o%22&amp;btnG=")</f>
        <v>https://scholar.google.com/scholar?hl=pt-BR&amp;as_sdt=0%2C5&amp;as_ylo=2020&amp;as_yhi=2024&amp;q=%22Congresso+Internacional+de+Design+da+Informa%C3%A7%C3%A3o%22&amp;btnG=</v>
      </c>
    </row>
    <row r="101">
      <c r="A101" s="68" t="str">
        <f>IFERROR(__xludf.DUMMYFUNCTION("""COMPUTED_VALUE"""),"Eventos da Área")</f>
        <v>Eventos da Área</v>
      </c>
      <c r="B101" t="str">
        <f>IFERROR(__xludf.DUMMYFUNCTION("""COMPUTED_VALUE"""),"UAHCI")</f>
        <v>UAHCI</v>
      </c>
      <c r="C101" t="str">
        <f>IFERROR(__xludf.DUMMYFUNCTION("""COMPUTED_VALUE"""),"International Conference Universal Access in Human-Computer Interaction")</f>
        <v>International Conference Universal Access in Human-Computer Interaction</v>
      </c>
      <c r="D101">
        <f>IFERROR(__xludf.DUMMYFUNCTION("""COMPUTED_VALUE"""),0.0)</f>
        <v>0</v>
      </c>
      <c r="E101" s="147" t="str">
        <f>IFERROR(__xludf.DUMMYFUNCTION("""COMPUTED_VALUE"""),"https://scholar.google.com/scholar?hl=pt-BR&amp;as_sdt=0%2C5&amp;as_ylo=2020&amp;as_yhi=2024&amp;q=%22International+Conference+Universal+Access+in+Human-Computer+Interaction%22&amp;btnG=")</f>
        <v>https://scholar.google.com/scholar?hl=pt-BR&amp;as_sdt=0%2C5&amp;as_ylo=2020&amp;as_yhi=2024&amp;q=%22International+Conference+Universal+Access+in+Human-Computer+Interaction%22&amp;btnG=</v>
      </c>
    </row>
    <row r="102">
      <c r="A102" t="str">
        <f>IFERROR(__xludf.DUMMYFUNCTION("""COMPUTED_VALUE"""),"Eventos da Área")</f>
        <v>Eventos da Área</v>
      </c>
      <c r="B102" t="str">
        <f>IFERROR(__xludf.DUMMYFUNCTION("""COMPUTED_VALUE"""),"IxDA")</f>
        <v>IxDA</v>
      </c>
      <c r="C102" t="str">
        <f>IFERROR(__xludf.DUMMYFUNCTION("""COMPUTED_VALUE"""),"Interaction Latin America")</f>
        <v>Interaction Latin America</v>
      </c>
      <c r="D102">
        <f>IFERROR(__xludf.DUMMYFUNCTION("""COMPUTED_VALUE"""),0.0)</f>
        <v>0</v>
      </c>
      <c r="E102" s="147" t="str">
        <f>IFERROR(__xludf.DUMMYFUNCTION("""COMPUTED_VALUE"""),"https://scholar.google.com/scholar?hl=pt-BR&amp;as_sdt=0%2C5&amp;as_ylo=2020&amp;as_yhi=2024&amp;q=%22Interaction+Latin+America%22&amp;btnG=")</f>
        <v>https://scholar.google.com/scholar?hl=pt-BR&amp;as_sdt=0%2C5&amp;as_ylo=2020&amp;as_yhi=2024&amp;q=%22Interaction+Latin+America%22&amp;btnG=</v>
      </c>
      <c r="F102" t="str">
        <f>IFERROR(__xludf.DUMMYFUNCTION("""COMPUTED_VALUE"""),"ILA")</f>
        <v>ILA</v>
      </c>
    </row>
    <row r="103">
      <c r="A103" t="str">
        <f>IFERROR(__xludf.DUMMYFUNCTION("""COMPUTED_VALUE"""),"Eventos da Área")</f>
        <v>Eventos da Área</v>
      </c>
      <c r="B103" t="str">
        <f>IFERROR(__xludf.DUMMYFUNCTION("""COMPUTED_VALUE"""),"ISEA")</f>
        <v>ISEA</v>
      </c>
      <c r="C103" t="str">
        <f>IFERROR(__xludf.DUMMYFUNCTION("""COMPUTED_VALUE"""),"International Symposium on Electronic /Emerging Art")</f>
        <v>International Symposium on Electronic /Emerging Art</v>
      </c>
      <c r="D103">
        <f>IFERROR(__xludf.DUMMYFUNCTION("""COMPUTED_VALUE"""),0.0)</f>
        <v>0</v>
      </c>
      <c r="E103" s="147" t="str">
        <f>IFERROR(__xludf.DUMMYFUNCTION("""COMPUTED_VALUE"""),"https://scholar.google.com/scholar?hl=pt-BR&amp;as_sdt=0%2C5&amp;as_ylo=2020&amp;as_yhi=2024&amp;q=%22International+Symposium+on+Electronic+%2FEmerging+Art%22&amp;btnG=")</f>
        <v>https://scholar.google.com/scholar?hl=pt-BR&amp;as_sdt=0%2C5&amp;as_ylo=2020&amp;as_yhi=2024&amp;q=%22International+Symposium+on+Electronic+%2FEmerging+Art%22&amp;btnG=</v>
      </c>
      <c r="G103" t="str">
        <f>IFERROR(__xludf.DUMMYFUNCTION("""COMPUTED_VALUE"""),"International Symposium on Electronic Arts")</f>
        <v>International Symposium on Electronic Arts</v>
      </c>
    </row>
    <row r="104">
      <c r="A104" t="str">
        <f>IFERROR(__xludf.DUMMYFUNCTION("""COMPUTED_VALUE"""),"Eventos da Área")</f>
        <v>Eventos da Área</v>
      </c>
      <c r="B104" t="str">
        <f>IFERROR(__xludf.DUMMYFUNCTION("""COMPUTED_VALUE"""),"IoTAAL")</f>
        <v>IoTAAL</v>
      </c>
      <c r="C104" t="str">
        <f>IFERROR(__xludf.DUMMYFUNCTION("""COMPUTED_VALUE"""),"Workshop on Internet of Things for Ambient Assisted Living")</f>
        <v>Workshop on Internet of Things for Ambient Assisted Living</v>
      </c>
      <c r="D104">
        <f>IFERROR(__xludf.DUMMYFUNCTION("""COMPUTED_VALUE"""),0.0)</f>
        <v>0</v>
      </c>
      <c r="E104" s="147" t="str">
        <f>IFERROR(__xludf.DUMMYFUNCTION("""COMPUTED_VALUE"""),"https://scholar.google.com/scholar?hl=pt-BR&amp;as_sdt=0%2C5&amp;as_ylo=2020&amp;as_yhi=2024&amp;q=%22Workshop+on+Internet+of+Things+for+Ambient+Assisted+Living%22&amp;btnG=")</f>
        <v>https://scholar.google.com/scholar?hl=pt-BR&amp;as_sdt=0%2C5&amp;as_ylo=2020&amp;as_yhi=2024&amp;q=%22Workshop+on+Internet+of+Things+for+Ambient+Assisted+Living%22&amp;btnG=</v>
      </c>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E10"/>
    <hyperlink r:id="rId18" ref="I10"/>
    <hyperlink r:id="rId19" ref="E11"/>
    <hyperlink r:id="rId20" ref="I11"/>
    <hyperlink r:id="rId21" ref="J11"/>
    <hyperlink r:id="rId22" ref="E12"/>
    <hyperlink r:id="rId23" ref="I12"/>
    <hyperlink r:id="rId24" ref="E13"/>
    <hyperlink r:id="rId25" ref="I13"/>
    <hyperlink r:id="rId26" ref="E14"/>
    <hyperlink r:id="rId27" ref="I14"/>
    <hyperlink r:id="rId28" ref="E15"/>
    <hyperlink r:id="rId29" ref="I15"/>
    <hyperlink r:id="rId30" ref="E16"/>
    <hyperlink r:id="rId31" ref="I16"/>
    <hyperlink r:id="rId32" ref="E17"/>
    <hyperlink r:id="rId33" ref="I17"/>
    <hyperlink r:id="rId34" ref="E18"/>
    <hyperlink r:id="rId35" ref="I18"/>
    <hyperlink r:id="rId36" ref="E19"/>
    <hyperlink r:id="rId37" ref="I19"/>
    <hyperlink r:id="rId38" ref="E20"/>
    <hyperlink r:id="rId39" ref="I20"/>
    <hyperlink r:id="rId40" ref="I21"/>
    <hyperlink r:id="rId41" ref="E22"/>
    <hyperlink r:id="rId42" ref="I22"/>
    <hyperlink r:id="rId43" ref="E23"/>
    <hyperlink r:id="rId44" ref="I23"/>
    <hyperlink r:id="rId45" ref="E24"/>
    <hyperlink r:id="rId46" ref="I24"/>
    <hyperlink r:id="rId47" ref="E25"/>
    <hyperlink r:id="rId48" ref="I25"/>
    <hyperlink r:id="rId49" ref="E26"/>
    <hyperlink r:id="rId50" ref="I26"/>
    <hyperlink r:id="rId51" ref="E27"/>
    <hyperlink r:id="rId52" ref="I27"/>
    <hyperlink r:id="rId53" ref="E28"/>
    <hyperlink r:id="rId54" ref="I28"/>
    <hyperlink r:id="rId55" ref="E29"/>
    <hyperlink r:id="rId56" ref="I29"/>
    <hyperlink r:id="rId57" ref="E30"/>
    <hyperlink r:id="rId58" ref="I30"/>
    <hyperlink r:id="rId59" ref="E31"/>
    <hyperlink r:id="rId60" ref="I31"/>
    <hyperlink r:id="rId61" ref="E32"/>
    <hyperlink r:id="rId62" ref="I32"/>
    <hyperlink r:id="rId63" ref="E33"/>
    <hyperlink r:id="rId64" ref="I33"/>
    <hyperlink r:id="rId65" ref="E34"/>
    <hyperlink r:id="rId66" ref="I34"/>
    <hyperlink r:id="rId67" ref="E35"/>
    <hyperlink r:id="rId68" ref="I35"/>
    <hyperlink r:id="rId69" ref="E36"/>
    <hyperlink r:id="rId70" ref="I36"/>
    <hyperlink r:id="rId71" ref="E37"/>
    <hyperlink r:id="rId72" ref="I37"/>
    <hyperlink r:id="rId73" ref="E38"/>
    <hyperlink r:id="rId74" ref="I38"/>
    <hyperlink r:id="rId75" ref="E39"/>
    <hyperlink r:id="rId76" ref="I39"/>
    <hyperlink r:id="rId77" ref="E40"/>
    <hyperlink r:id="rId78" ref="I40"/>
    <hyperlink r:id="rId79" ref="E41"/>
    <hyperlink r:id="rId80" ref="I41"/>
    <hyperlink r:id="rId81" ref="E42"/>
    <hyperlink r:id="rId82" ref="I42"/>
    <hyperlink r:id="rId83" ref="E43"/>
    <hyperlink r:id="rId84" ref="I43"/>
    <hyperlink r:id="rId85" ref="E44"/>
    <hyperlink r:id="rId86" ref="I44"/>
    <hyperlink r:id="rId87" ref="E45"/>
    <hyperlink r:id="rId88" ref="I45"/>
    <hyperlink r:id="rId89" ref="E46"/>
    <hyperlink r:id="rId90" ref="I46"/>
    <hyperlink r:id="rId91" ref="E47"/>
    <hyperlink r:id="rId92" ref="I47"/>
    <hyperlink r:id="rId93" ref="E48"/>
    <hyperlink r:id="rId94" ref="I48"/>
    <hyperlink r:id="rId95" ref="E49"/>
    <hyperlink r:id="rId96" ref="I49"/>
    <hyperlink r:id="rId97" ref="E50"/>
    <hyperlink r:id="rId98" ref="I50"/>
    <hyperlink r:id="rId99" ref="E51"/>
    <hyperlink r:id="rId100" ref="I51"/>
    <hyperlink r:id="rId101" ref="J51"/>
    <hyperlink r:id="rId102" ref="E52"/>
    <hyperlink r:id="rId103" ref="I52"/>
    <hyperlink r:id="rId104" ref="E53"/>
    <hyperlink r:id="rId105" ref="I53"/>
    <hyperlink r:id="rId106" ref="E54"/>
    <hyperlink r:id="rId107" ref="J54"/>
    <hyperlink r:id="rId108" ref="E55"/>
    <hyperlink r:id="rId109" ref="I55"/>
    <hyperlink r:id="rId110" ref="E56"/>
    <hyperlink r:id="rId111" ref="I56"/>
    <hyperlink r:id="rId112" ref="E57"/>
    <hyperlink r:id="rId113" ref="I57"/>
    <hyperlink r:id="rId114" ref="E58"/>
    <hyperlink r:id="rId115" ref="I58"/>
    <hyperlink r:id="rId116" ref="J58"/>
    <hyperlink r:id="rId117" ref="E59"/>
    <hyperlink r:id="rId118" ref="I59"/>
    <hyperlink r:id="rId119" ref="E60"/>
    <hyperlink r:id="rId120" ref="J60"/>
    <hyperlink r:id="rId121" ref="E61"/>
    <hyperlink r:id="rId122" ref="I61"/>
    <hyperlink r:id="rId123" ref="E62"/>
    <hyperlink r:id="rId124" ref="I62"/>
    <hyperlink r:id="rId125" ref="E63"/>
    <hyperlink r:id="rId126" ref="E64"/>
    <hyperlink r:id="rId127" ref="J64"/>
    <hyperlink r:id="rId128" ref="E65"/>
    <hyperlink r:id="rId129" ref="E66"/>
    <hyperlink r:id="rId130" ref="I66"/>
    <hyperlink r:id="rId131" ref="E67"/>
    <hyperlink r:id="rId132" ref="I67"/>
    <hyperlink r:id="rId133" ref="E68"/>
    <hyperlink r:id="rId134" ref="I68"/>
    <hyperlink r:id="rId135" ref="E69"/>
    <hyperlink r:id="rId136" ref="I69"/>
    <hyperlink r:id="rId137" ref="E70"/>
    <hyperlink r:id="rId138" ref="I70"/>
    <hyperlink r:id="rId139" ref="E71"/>
    <hyperlink r:id="rId140" ref="I71"/>
    <hyperlink r:id="rId141" ref="E72"/>
    <hyperlink r:id="rId142" ref="I72"/>
    <hyperlink r:id="rId143" ref="E73"/>
    <hyperlink r:id="rId144" ref="I73"/>
    <hyperlink r:id="rId145" ref="E74"/>
    <hyperlink r:id="rId146" ref="I74"/>
    <hyperlink r:id="rId147" ref="E75"/>
    <hyperlink r:id="rId148" ref="I75"/>
    <hyperlink r:id="rId149" ref="E76"/>
    <hyperlink r:id="rId150" ref="I76"/>
    <hyperlink r:id="rId151" ref="E77"/>
    <hyperlink r:id="rId152" ref="I77"/>
    <hyperlink r:id="rId153" ref="E78"/>
    <hyperlink r:id="rId154" ref="I78"/>
    <hyperlink r:id="rId155" ref="E79"/>
    <hyperlink r:id="rId156" ref="I79"/>
    <hyperlink r:id="rId157" ref="E80"/>
    <hyperlink r:id="rId158" ref="I80"/>
    <hyperlink r:id="rId159" ref="E81"/>
    <hyperlink r:id="rId160" ref="I81"/>
    <hyperlink r:id="rId161" ref="E82"/>
    <hyperlink r:id="rId162" ref="I82"/>
    <hyperlink r:id="rId163" ref="E83"/>
    <hyperlink r:id="rId164" ref="I83"/>
    <hyperlink r:id="rId165" ref="J83"/>
    <hyperlink r:id="rId166" ref="E84"/>
    <hyperlink r:id="rId167" ref="J84"/>
    <hyperlink r:id="rId168" ref="E85"/>
    <hyperlink r:id="rId169" ref="I85"/>
    <hyperlink r:id="rId170" ref="E86"/>
    <hyperlink r:id="rId171" ref="I86"/>
    <hyperlink r:id="rId172" ref="E87"/>
    <hyperlink r:id="rId173" ref="I87"/>
    <hyperlink r:id="rId174" ref="E88"/>
    <hyperlink r:id="rId175" ref="I88"/>
    <hyperlink r:id="rId176" ref="E89"/>
    <hyperlink r:id="rId177" ref="I89"/>
    <hyperlink r:id="rId178" ref="E90"/>
    <hyperlink r:id="rId179" ref="I90"/>
    <hyperlink r:id="rId180" ref="E91"/>
    <hyperlink r:id="rId181" ref="I91"/>
    <hyperlink r:id="rId182" ref="E92"/>
    <hyperlink r:id="rId183" ref="I92"/>
    <hyperlink r:id="rId184" ref="J92"/>
    <hyperlink r:id="rId185" ref="E93"/>
    <hyperlink r:id="rId186" ref="J93"/>
    <hyperlink r:id="rId187" ref="E94"/>
    <hyperlink r:id="rId188" ref="J94"/>
    <hyperlink r:id="rId189" ref="E95"/>
    <hyperlink r:id="rId190" ref="J95"/>
    <hyperlink r:id="rId191" ref="E96"/>
    <hyperlink r:id="rId192" ref="I96"/>
    <hyperlink r:id="rId193" ref="E97"/>
    <hyperlink r:id="rId194" ref="J97"/>
    <hyperlink r:id="rId195" ref="E98"/>
    <hyperlink r:id="rId196" ref="E99"/>
    <hyperlink r:id="rId197" ref="E100"/>
    <hyperlink r:id="rId198" ref="E101"/>
    <hyperlink r:id="rId199" ref="E102"/>
    <hyperlink r:id="rId200" ref="E103"/>
    <hyperlink r:id="rId201" ref="E104"/>
  </hyperlinks>
  <drawing r:id="rId20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2" max="2" width="88.38"/>
  </cols>
  <sheetData>
    <row r="1">
      <c r="A1" s="35" t="s">
        <v>48</v>
      </c>
      <c r="B1" s="35" t="s">
        <v>49</v>
      </c>
    </row>
    <row r="2">
      <c r="A2" s="36" t="s">
        <v>50</v>
      </c>
      <c r="B2" s="37" t="s">
        <v>51</v>
      </c>
    </row>
    <row r="3">
      <c r="A3" s="38" t="s">
        <v>52</v>
      </c>
      <c r="B3" s="39" t="s">
        <v>53</v>
      </c>
    </row>
    <row r="4">
      <c r="A4" s="38" t="s">
        <v>54</v>
      </c>
      <c r="B4" s="39" t="s">
        <v>55</v>
      </c>
    </row>
    <row r="5">
      <c r="A5" s="38" t="s">
        <v>56</v>
      </c>
      <c r="B5" s="39" t="s">
        <v>57</v>
      </c>
    </row>
    <row r="6">
      <c r="A6" s="38" t="s">
        <v>58</v>
      </c>
      <c r="B6" s="39" t="s">
        <v>59</v>
      </c>
    </row>
    <row r="7">
      <c r="A7" s="38" t="s">
        <v>60</v>
      </c>
      <c r="B7" s="39" t="s">
        <v>61</v>
      </c>
    </row>
    <row r="8">
      <c r="A8" s="38" t="s">
        <v>62</v>
      </c>
      <c r="B8" s="39" t="s">
        <v>63</v>
      </c>
    </row>
    <row r="9">
      <c r="A9" s="38" t="s">
        <v>64</v>
      </c>
      <c r="B9" s="39" t="s">
        <v>65</v>
      </c>
    </row>
    <row r="10">
      <c r="A10" s="38" t="s">
        <v>66</v>
      </c>
      <c r="B10" s="39" t="s">
        <v>67</v>
      </c>
    </row>
    <row r="11">
      <c r="A11" s="38" t="s">
        <v>68</v>
      </c>
      <c r="B11" s="39" t="s">
        <v>69</v>
      </c>
    </row>
    <row r="12">
      <c r="A12" s="38" t="s">
        <v>70</v>
      </c>
      <c r="B12" s="39" t="s">
        <v>71</v>
      </c>
    </row>
    <row r="13">
      <c r="A13" s="38" t="s">
        <v>72</v>
      </c>
      <c r="B13" s="39" t="s">
        <v>73</v>
      </c>
    </row>
    <row r="14">
      <c r="A14" s="38" t="s">
        <v>74</v>
      </c>
      <c r="B14" s="39" t="s">
        <v>75</v>
      </c>
    </row>
    <row r="15">
      <c r="A15" s="38" t="s">
        <v>76</v>
      </c>
      <c r="B15" s="39" t="s">
        <v>77</v>
      </c>
    </row>
    <row r="16">
      <c r="A16" s="38" t="s">
        <v>78</v>
      </c>
      <c r="B16" s="39" t="s">
        <v>79</v>
      </c>
    </row>
    <row r="17">
      <c r="A17" s="38" t="s">
        <v>80</v>
      </c>
      <c r="B17" s="39" t="s">
        <v>81</v>
      </c>
    </row>
    <row r="18">
      <c r="A18" s="38" t="s">
        <v>82</v>
      </c>
      <c r="B18" s="39" t="s">
        <v>83</v>
      </c>
    </row>
    <row r="19">
      <c r="A19" s="38" t="s">
        <v>84</v>
      </c>
      <c r="B19" s="39" t="s">
        <v>85</v>
      </c>
    </row>
    <row r="20">
      <c r="A20" s="38" t="s">
        <v>86</v>
      </c>
      <c r="B20" s="39" t="s">
        <v>87</v>
      </c>
    </row>
    <row r="21">
      <c r="A21" s="38" t="s">
        <v>88</v>
      </c>
      <c r="B21" s="39" t="s">
        <v>89</v>
      </c>
    </row>
    <row r="22">
      <c r="A22" s="38" t="s">
        <v>90</v>
      </c>
      <c r="B22" s="39" t="s">
        <v>91</v>
      </c>
    </row>
    <row r="23">
      <c r="A23" s="38" t="s">
        <v>92</v>
      </c>
      <c r="B23" s="39" t="s">
        <v>93</v>
      </c>
    </row>
    <row r="24">
      <c r="A24" s="38" t="s">
        <v>94</v>
      </c>
      <c r="B24" s="39" t="s">
        <v>95</v>
      </c>
    </row>
    <row r="25">
      <c r="A25" s="38" t="s">
        <v>96</v>
      </c>
      <c r="B25" s="39" t="s">
        <v>97</v>
      </c>
    </row>
    <row r="26">
      <c r="A26" s="38" t="s">
        <v>98</v>
      </c>
      <c r="B26" s="39" t="s">
        <v>99</v>
      </c>
    </row>
    <row r="27">
      <c r="A27" s="38" t="s">
        <v>100</v>
      </c>
      <c r="B27" s="39" t="s">
        <v>101</v>
      </c>
    </row>
    <row r="28">
      <c r="A28" s="38" t="s">
        <v>102</v>
      </c>
      <c r="B28" s="39" t="s">
        <v>103</v>
      </c>
    </row>
    <row r="29">
      <c r="A29" s="38" t="s">
        <v>104</v>
      </c>
      <c r="B29" s="39" t="s">
        <v>105</v>
      </c>
    </row>
    <row r="30">
      <c r="A30" s="38" t="s">
        <v>106</v>
      </c>
      <c r="B30" s="39" t="s">
        <v>107</v>
      </c>
    </row>
    <row r="31">
      <c r="A31" s="38" t="s">
        <v>108</v>
      </c>
      <c r="B31" s="39" t="s">
        <v>109</v>
      </c>
    </row>
    <row r="32">
      <c r="A32" s="38" t="s">
        <v>110</v>
      </c>
      <c r="B32" s="39" t="s">
        <v>111</v>
      </c>
    </row>
    <row r="33">
      <c r="A33" s="38" t="s">
        <v>112</v>
      </c>
      <c r="B33" s="39" t="s">
        <v>113</v>
      </c>
    </row>
    <row r="34">
      <c r="A34" s="38" t="s">
        <v>114</v>
      </c>
      <c r="B34" s="39" t="s">
        <v>115</v>
      </c>
    </row>
    <row r="35">
      <c r="A35" s="38" t="s">
        <v>116</v>
      </c>
      <c r="B35" s="39" t="s">
        <v>117</v>
      </c>
    </row>
    <row r="36">
      <c r="A36" s="38" t="s">
        <v>118</v>
      </c>
      <c r="B36" s="39" t="s">
        <v>119</v>
      </c>
    </row>
    <row r="37">
      <c r="A37" s="38" t="s">
        <v>120</v>
      </c>
      <c r="B37" s="39" t="s">
        <v>121</v>
      </c>
    </row>
    <row r="38">
      <c r="A38" s="38" t="s">
        <v>122</v>
      </c>
      <c r="B38" s="39" t="s">
        <v>123</v>
      </c>
    </row>
    <row r="39">
      <c r="A39" s="38" t="s">
        <v>124</v>
      </c>
      <c r="B39" s="39" t="s">
        <v>125</v>
      </c>
    </row>
    <row r="40">
      <c r="A40" s="38" t="s">
        <v>126</v>
      </c>
      <c r="B40" s="39" t="s">
        <v>127</v>
      </c>
    </row>
    <row r="41">
      <c r="A41" s="38" t="s">
        <v>128</v>
      </c>
      <c r="B41" s="39" t="s">
        <v>129</v>
      </c>
    </row>
    <row r="42">
      <c r="A42" s="38" t="s">
        <v>130</v>
      </c>
      <c r="B42" s="39" t="s">
        <v>131</v>
      </c>
    </row>
    <row r="43">
      <c r="A43" s="38" t="s">
        <v>132</v>
      </c>
      <c r="B43" s="39" t="s">
        <v>133</v>
      </c>
    </row>
    <row r="44">
      <c r="A44" s="38" t="s">
        <v>134</v>
      </c>
      <c r="B44" s="39" t="s">
        <v>135</v>
      </c>
    </row>
    <row r="45">
      <c r="A45" s="38" t="s">
        <v>136</v>
      </c>
      <c r="B45" s="39" t="s">
        <v>137</v>
      </c>
    </row>
    <row r="46">
      <c r="A46" s="38" t="s">
        <v>138</v>
      </c>
      <c r="B46" s="39" t="s">
        <v>139</v>
      </c>
    </row>
    <row r="47">
      <c r="A47" s="38" t="s">
        <v>140</v>
      </c>
      <c r="B47" s="39" t="s">
        <v>141</v>
      </c>
    </row>
    <row r="48">
      <c r="A48" s="38" t="s">
        <v>142</v>
      </c>
      <c r="B48" s="39" t="s">
        <v>143</v>
      </c>
    </row>
    <row r="49">
      <c r="A49" s="38" t="s">
        <v>144</v>
      </c>
      <c r="B49" s="39" t="s">
        <v>145</v>
      </c>
    </row>
    <row r="50">
      <c r="A50" s="38" t="s">
        <v>146</v>
      </c>
      <c r="B50" s="39" t="s">
        <v>147</v>
      </c>
    </row>
    <row r="51">
      <c r="A51" s="38" t="s">
        <v>148</v>
      </c>
      <c r="B51" s="39" t="s">
        <v>149</v>
      </c>
    </row>
    <row r="52">
      <c r="A52" s="38" t="s">
        <v>150</v>
      </c>
      <c r="B52" s="39" t="s">
        <v>151</v>
      </c>
    </row>
    <row r="53">
      <c r="A53" s="38" t="s">
        <v>152</v>
      </c>
      <c r="B53" s="39" t="s">
        <v>153</v>
      </c>
    </row>
    <row r="54">
      <c r="A54" s="38" t="s">
        <v>154</v>
      </c>
      <c r="B54" s="39" t="s">
        <v>155</v>
      </c>
    </row>
    <row r="55">
      <c r="A55" s="38" t="s">
        <v>156</v>
      </c>
      <c r="B55" s="39" t="s">
        <v>157</v>
      </c>
    </row>
    <row r="56">
      <c r="A56" s="38" t="s">
        <v>158</v>
      </c>
      <c r="B56" s="39" t="s">
        <v>159</v>
      </c>
    </row>
    <row r="57">
      <c r="A57" s="40" t="s">
        <v>160</v>
      </c>
      <c r="B57" s="41" t="s">
        <v>161</v>
      </c>
    </row>
    <row r="58">
      <c r="A58" s="38" t="s">
        <v>162</v>
      </c>
      <c r="B58" s="39" t="s">
        <v>163</v>
      </c>
    </row>
    <row r="59">
      <c r="A59" s="38" t="s">
        <v>164</v>
      </c>
      <c r="B59" s="39" t="s">
        <v>165</v>
      </c>
    </row>
    <row r="60">
      <c r="A60" s="40" t="s">
        <v>166</v>
      </c>
      <c r="B60" s="41" t="s">
        <v>167</v>
      </c>
    </row>
    <row r="61">
      <c r="A61" s="38" t="s">
        <v>168</v>
      </c>
      <c r="B61" s="42" t="s">
        <v>169</v>
      </c>
    </row>
    <row r="62">
      <c r="A62" s="38" t="s">
        <v>170</v>
      </c>
      <c r="B62" s="39" t="s">
        <v>171</v>
      </c>
    </row>
    <row r="63">
      <c r="A63" s="38" t="s">
        <v>172</v>
      </c>
      <c r="B63" s="39" t="s">
        <v>173</v>
      </c>
    </row>
    <row r="64">
      <c r="A64" s="38" t="s">
        <v>174</v>
      </c>
      <c r="B64" s="39" t="s">
        <v>175</v>
      </c>
    </row>
    <row r="65">
      <c r="A65" s="38" t="s">
        <v>176</v>
      </c>
      <c r="B65" s="39" t="s">
        <v>177</v>
      </c>
    </row>
    <row r="66">
      <c r="A66" s="38" t="s">
        <v>178</v>
      </c>
      <c r="B66" s="39" t="s">
        <v>179</v>
      </c>
    </row>
    <row r="67">
      <c r="A67" s="38" t="s">
        <v>180</v>
      </c>
      <c r="B67" s="39" t="s">
        <v>181</v>
      </c>
    </row>
    <row r="68">
      <c r="A68" s="38" t="s">
        <v>182</v>
      </c>
      <c r="B68" s="39" t="s">
        <v>183</v>
      </c>
    </row>
    <row r="69">
      <c r="A69" s="38" t="s">
        <v>184</v>
      </c>
      <c r="B69" s="39" t="s">
        <v>185</v>
      </c>
    </row>
    <row r="70">
      <c r="A70" s="38" t="s">
        <v>186</v>
      </c>
      <c r="B70" s="39" t="s">
        <v>187</v>
      </c>
    </row>
    <row r="71">
      <c r="A71" s="38" t="s">
        <v>188</v>
      </c>
      <c r="B71" s="39" t="s">
        <v>189</v>
      </c>
    </row>
    <row r="72">
      <c r="A72" s="38" t="s">
        <v>190</v>
      </c>
      <c r="B72" s="39" t="s">
        <v>191</v>
      </c>
    </row>
    <row r="73">
      <c r="A73" s="38" t="s">
        <v>192</v>
      </c>
      <c r="B73" s="39" t="s">
        <v>193</v>
      </c>
    </row>
    <row r="74">
      <c r="A74" s="38" t="s">
        <v>194</v>
      </c>
      <c r="B74" s="39" t="s">
        <v>195</v>
      </c>
    </row>
    <row r="75">
      <c r="A75" s="38" t="s">
        <v>196</v>
      </c>
      <c r="B75" s="39" t="s">
        <v>197</v>
      </c>
    </row>
    <row r="76">
      <c r="A76" s="38" t="s">
        <v>198</v>
      </c>
      <c r="B76" s="39" t="s">
        <v>199</v>
      </c>
    </row>
    <row r="77">
      <c r="A77" s="38" t="s">
        <v>200</v>
      </c>
      <c r="B77" s="39" t="s">
        <v>201</v>
      </c>
    </row>
    <row r="78">
      <c r="A78" s="38" t="s">
        <v>202</v>
      </c>
      <c r="B78" s="39" t="s">
        <v>203</v>
      </c>
    </row>
    <row r="79">
      <c r="A79" s="38" t="s">
        <v>204</v>
      </c>
      <c r="B79" s="43" t="s">
        <v>205</v>
      </c>
    </row>
    <row r="80">
      <c r="A80" s="38" t="s">
        <v>206</v>
      </c>
      <c r="B80" s="39" t="s">
        <v>207</v>
      </c>
    </row>
    <row r="81">
      <c r="A81" s="38" t="s">
        <v>208</v>
      </c>
      <c r="B81" s="39" t="s">
        <v>209</v>
      </c>
    </row>
    <row r="82">
      <c r="A82" s="38" t="s">
        <v>210</v>
      </c>
      <c r="B82" s="39" t="s">
        <v>211</v>
      </c>
    </row>
    <row r="83">
      <c r="A83" s="38" t="s">
        <v>212</v>
      </c>
      <c r="B83" s="39" t="s">
        <v>213</v>
      </c>
    </row>
    <row r="84">
      <c r="A84" s="38" t="s">
        <v>214</v>
      </c>
      <c r="B84" s="39" t="s">
        <v>215</v>
      </c>
    </row>
    <row r="85">
      <c r="A85" s="38" t="s">
        <v>216</v>
      </c>
      <c r="B85" s="39" t="s">
        <v>217</v>
      </c>
    </row>
    <row r="86">
      <c r="A86" s="38" t="s">
        <v>218</v>
      </c>
      <c r="B86" s="39" t="s">
        <v>219</v>
      </c>
    </row>
    <row r="87">
      <c r="A87" s="38" t="s">
        <v>220</v>
      </c>
      <c r="B87" s="39" t="s">
        <v>221</v>
      </c>
    </row>
    <row r="88">
      <c r="A88" s="38" t="s">
        <v>222</v>
      </c>
      <c r="B88" s="39" t="s">
        <v>223</v>
      </c>
    </row>
    <row r="89">
      <c r="A89" s="38" t="s">
        <v>224</v>
      </c>
      <c r="B89" s="39" t="s">
        <v>225</v>
      </c>
    </row>
    <row r="90">
      <c r="A90" s="38" t="s">
        <v>226</v>
      </c>
      <c r="B90" s="39" t="s">
        <v>227</v>
      </c>
    </row>
    <row r="91">
      <c r="A91" s="38" t="s">
        <v>228</v>
      </c>
      <c r="B91" s="43" t="s">
        <v>229</v>
      </c>
    </row>
    <row r="92">
      <c r="A92" s="38" t="s">
        <v>230</v>
      </c>
      <c r="B92" s="39" t="s">
        <v>231</v>
      </c>
    </row>
    <row r="93">
      <c r="A93" s="38" t="s">
        <v>232</v>
      </c>
      <c r="B93" s="39" t="s">
        <v>233</v>
      </c>
    </row>
    <row r="94">
      <c r="A94" s="38" t="s">
        <v>234</v>
      </c>
      <c r="B94" s="39" t="s">
        <v>235</v>
      </c>
    </row>
    <row r="95">
      <c r="A95" s="38" t="s">
        <v>236</v>
      </c>
      <c r="B95" s="39" t="s">
        <v>237</v>
      </c>
    </row>
    <row r="96">
      <c r="A96" s="38" t="s">
        <v>238</v>
      </c>
      <c r="B96" s="39" t="s">
        <v>239</v>
      </c>
    </row>
    <row r="97">
      <c r="A97" s="38" t="s">
        <v>240</v>
      </c>
      <c r="B97" s="39" t="s">
        <v>241</v>
      </c>
    </row>
    <row r="98">
      <c r="A98" s="38" t="s">
        <v>242</v>
      </c>
      <c r="B98" s="39" t="s">
        <v>243</v>
      </c>
    </row>
    <row r="99">
      <c r="A99" s="38" t="s">
        <v>244</v>
      </c>
      <c r="B99" s="39" t="s">
        <v>245</v>
      </c>
    </row>
    <row r="100">
      <c r="A100" s="38" t="s">
        <v>246</v>
      </c>
      <c r="B100" s="39" t="s">
        <v>247</v>
      </c>
    </row>
    <row r="101">
      <c r="A101" s="38" t="s">
        <v>248</v>
      </c>
      <c r="B101" s="39" t="s">
        <v>249</v>
      </c>
    </row>
    <row r="102">
      <c r="A102" s="38" t="s">
        <v>250</v>
      </c>
      <c r="B102" s="39" t="s">
        <v>251</v>
      </c>
    </row>
    <row r="103">
      <c r="A103" s="38" t="s">
        <v>252</v>
      </c>
      <c r="B103" s="39" t="s">
        <v>253</v>
      </c>
    </row>
    <row r="104">
      <c r="A104" s="38" t="s">
        <v>254</v>
      </c>
      <c r="B104" s="39" t="s">
        <v>255</v>
      </c>
    </row>
    <row r="105">
      <c r="A105" s="38" t="s">
        <v>256</v>
      </c>
      <c r="B105" s="39" t="s">
        <v>257</v>
      </c>
    </row>
    <row r="106">
      <c r="A106" s="38" t="s">
        <v>258</v>
      </c>
      <c r="B106" s="39" t="s">
        <v>259</v>
      </c>
    </row>
    <row r="107">
      <c r="A107" s="38" t="s">
        <v>260</v>
      </c>
      <c r="B107" s="39" t="s">
        <v>261</v>
      </c>
    </row>
    <row r="108">
      <c r="A108" s="38" t="s">
        <v>262</v>
      </c>
      <c r="B108" s="39" t="s">
        <v>263</v>
      </c>
    </row>
    <row r="109">
      <c r="A109" s="38" t="s">
        <v>264</v>
      </c>
      <c r="B109" s="39" t="s">
        <v>265</v>
      </c>
    </row>
    <row r="110">
      <c r="A110" s="38" t="s">
        <v>266</v>
      </c>
      <c r="B110" s="39" t="s">
        <v>267</v>
      </c>
    </row>
    <row r="111">
      <c r="A111" s="38" t="s">
        <v>268</v>
      </c>
      <c r="B111" s="39" t="s">
        <v>269</v>
      </c>
    </row>
    <row r="112">
      <c r="A112" s="38" t="s">
        <v>270</v>
      </c>
      <c r="B112" s="39" t="s">
        <v>271</v>
      </c>
    </row>
    <row r="113">
      <c r="A113" s="38" t="s">
        <v>272</v>
      </c>
      <c r="B113" s="39" t="s">
        <v>273</v>
      </c>
    </row>
    <row r="114">
      <c r="A114" s="38" t="s">
        <v>274</v>
      </c>
      <c r="B114" s="39" t="s">
        <v>275</v>
      </c>
    </row>
    <row r="115">
      <c r="A115" s="38" t="s">
        <v>276</v>
      </c>
      <c r="B115" s="39" t="s">
        <v>277</v>
      </c>
    </row>
    <row r="116">
      <c r="A116" s="38" t="s">
        <v>278</v>
      </c>
      <c r="B116" s="39" t="s">
        <v>279</v>
      </c>
    </row>
    <row r="117">
      <c r="A117" s="38" t="s">
        <v>280</v>
      </c>
      <c r="B117" s="39" t="s">
        <v>281</v>
      </c>
    </row>
    <row r="118">
      <c r="A118" s="38" t="s">
        <v>282</v>
      </c>
      <c r="B118" s="39" t="s">
        <v>283</v>
      </c>
    </row>
    <row r="119">
      <c r="A119" s="38" t="s">
        <v>284</v>
      </c>
      <c r="B119" s="39" t="s">
        <v>285</v>
      </c>
    </row>
    <row r="120">
      <c r="A120" s="38" t="s">
        <v>286</v>
      </c>
      <c r="B120" s="39" t="s">
        <v>287</v>
      </c>
    </row>
    <row r="121">
      <c r="A121" s="38" t="s">
        <v>288</v>
      </c>
      <c r="B121" s="39" t="s">
        <v>289</v>
      </c>
    </row>
    <row r="122">
      <c r="A122" s="38" t="s">
        <v>290</v>
      </c>
      <c r="B122" s="39" t="s">
        <v>291</v>
      </c>
    </row>
    <row r="123">
      <c r="A123" s="38" t="s">
        <v>292</v>
      </c>
      <c r="B123" s="39" t="s">
        <v>293</v>
      </c>
    </row>
    <row r="124">
      <c r="A124" s="38" t="s">
        <v>294</v>
      </c>
      <c r="B124" s="39" t="s">
        <v>295</v>
      </c>
    </row>
    <row r="125">
      <c r="A125" s="40" t="s">
        <v>296</v>
      </c>
      <c r="B125" s="41" t="s">
        <v>297</v>
      </c>
    </row>
    <row r="126">
      <c r="A126" s="40" t="s">
        <v>298</v>
      </c>
      <c r="B126" s="41" t="s">
        <v>299</v>
      </c>
    </row>
    <row r="127">
      <c r="A127" s="38" t="s">
        <v>300</v>
      </c>
      <c r="B127" s="39" t="s">
        <v>301</v>
      </c>
    </row>
    <row r="128">
      <c r="A128" s="38" t="s">
        <v>302</v>
      </c>
      <c r="B128" s="39" t="s">
        <v>303</v>
      </c>
    </row>
    <row r="129">
      <c r="A129" s="38" t="s">
        <v>304</v>
      </c>
      <c r="B129" s="39" t="s">
        <v>305</v>
      </c>
    </row>
    <row r="130">
      <c r="A130" s="38" t="s">
        <v>306</v>
      </c>
      <c r="B130" s="39" t="s">
        <v>307</v>
      </c>
    </row>
    <row r="131">
      <c r="A131" s="38" t="s">
        <v>308</v>
      </c>
      <c r="B131" s="39" t="s">
        <v>309</v>
      </c>
    </row>
    <row r="132">
      <c r="A132" s="38" t="s">
        <v>310</v>
      </c>
      <c r="B132" s="39" t="s">
        <v>311</v>
      </c>
    </row>
    <row r="133">
      <c r="A133" s="38" t="s">
        <v>312</v>
      </c>
      <c r="B133" s="39" t="s">
        <v>313</v>
      </c>
    </row>
    <row r="134">
      <c r="A134" s="38" t="s">
        <v>314</v>
      </c>
      <c r="B134" s="39" t="s">
        <v>315</v>
      </c>
    </row>
    <row r="135">
      <c r="A135" s="38" t="s">
        <v>316</v>
      </c>
      <c r="B135" s="39" t="s">
        <v>317</v>
      </c>
    </row>
    <row r="136">
      <c r="A136" s="38" t="s">
        <v>318</v>
      </c>
      <c r="B136" s="39" t="s">
        <v>319</v>
      </c>
    </row>
    <row r="137">
      <c r="A137" s="38" t="s">
        <v>320</v>
      </c>
      <c r="B137" s="39" t="s">
        <v>321</v>
      </c>
    </row>
    <row r="138">
      <c r="A138" s="38" t="s">
        <v>322</v>
      </c>
      <c r="B138" s="39" t="s">
        <v>323</v>
      </c>
    </row>
    <row r="139">
      <c r="A139" s="38" t="s">
        <v>324</v>
      </c>
      <c r="B139" s="39" t="s">
        <v>325</v>
      </c>
    </row>
    <row r="140">
      <c r="A140" s="38" t="s">
        <v>326</v>
      </c>
      <c r="B140" s="39" t="s">
        <v>327</v>
      </c>
    </row>
    <row r="141">
      <c r="A141" s="38" t="s">
        <v>328</v>
      </c>
      <c r="B141" s="39" t="s">
        <v>329</v>
      </c>
    </row>
    <row r="142">
      <c r="A142" s="38" t="s">
        <v>330</v>
      </c>
      <c r="B142" s="39" t="s">
        <v>331</v>
      </c>
    </row>
    <row r="143">
      <c r="A143" s="38" t="s">
        <v>332</v>
      </c>
      <c r="B143" s="39" t="s">
        <v>333</v>
      </c>
    </row>
    <row r="144">
      <c r="A144" s="38" t="s">
        <v>334</v>
      </c>
      <c r="B144" s="39" t="s">
        <v>335</v>
      </c>
    </row>
    <row r="145">
      <c r="A145" s="38" t="s">
        <v>336</v>
      </c>
      <c r="B145" s="39" t="s">
        <v>337</v>
      </c>
    </row>
    <row r="146">
      <c r="A146" s="40" t="s">
        <v>338</v>
      </c>
      <c r="B146" s="41" t="s">
        <v>339</v>
      </c>
    </row>
    <row r="147">
      <c r="A147" s="38" t="s">
        <v>340</v>
      </c>
      <c r="B147" s="39" t="s">
        <v>341</v>
      </c>
    </row>
    <row r="148">
      <c r="A148" s="38" t="s">
        <v>342</v>
      </c>
      <c r="B148" s="39" t="s">
        <v>343</v>
      </c>
    </row>
    <row r="149">
      <c r="A149" s="38" t="s">
        <v>344</v>
      </c>
      <c r="B149" s="39" t="s">
        <v>345</v>
      </c>
    </row>
    <row r="150">
      <c r="A150" s="38" t="s">
        <v>346</v>
      </c>
      <c r="B150" s="39" t="s">
        <v>347</v>
      </c>
    </row>
    <row r="151">
      <c r="A151" s="40" t="s">
        <v>348</v>
      </c>
      <c r="B151" s="41" t="s">
        <v>349</v>
      </c>
    </row>
    <row r="152">
      <c r="A152" s="38" t="s">
        <v>350</v>
      </c>
      <c r="B152" s="39" t="s">
        <v>351</v>
      </c>
    </row>
    <row r="153">
      <c r="A153" s="38" t="s">
        <v>352</v>
      </c>
      <c r="B153" s="39" t="s">
        <v>353</v>
      </c>
    </row>
    <row r="154">
      <c r="A154" s="38" t="s">
        <v>354</v>
      </c>
      <c r="B154" s="39" t="s">
        <v>355</v>
      </c>
    </row>
    <row r="155">
      <c r="A155" s="38" t="s">
        <v>356</v>
      </c>
      <c r="B155" s="39" t="s">
        <v>357</v>
      </c>
    </row>
    <row r="156">
      <c r="A156" s="38" t="s">
        <v>358</v>
      </c>
      <c r="B156" s="39" t="s">
        <v>359</v>
      </c>
    </row>
    <row r="157">
      <c r="A157" s="38" t="s">
        <v>360</v>
      </c>
      <c r="B157" s="39" t="s">
        <v>361</v>
      </c>
    </row>
    <row r="158">
      <c r="A158" s="38" t="s">
        <v>362</v>
      </c>
      <c r="B158" s="44" t="s">
        <v>363</v>
      </c>
    </row>
    <row r="159">
      <c r="A159" s="38" t="s">
        <v>364</v>
      </c>
      <c r="B159" s="39" t="s">
        <v>365</v>
      </c>
    </row>
    <row r="160">
      <c r="A160" s="38" t="s">
        <v>366</v>
      </c>
      <c r="B160" s="39" t="s">
        <v>367</v>
      </c>
    </row>
    <row r="161">
      <c r="A161" s="38" t="s">
        <v>368</v>
      </c>
      <c r="B161" s="39" t="s">
        <v>369</v>
      </c>
    </row>
    <row r="162">
      <c r="A162" s="38" t="s">
        <v>370</v>
      </c>
      <c r="B162" s="39" t="s">
        <v>371</v>
      </c>
    </row>
    <row r="163">
      <c r="A163" s="38" t="s">
        <v>372</v>
      </c>
      <c r="B163" s="39" t="s">
        <v>373</v>
      </c>
    </row>
    <row r="164">
      <c r="A164" s="38" t="s">
        <v>374</v>
      </c>
      <c r="B164" s="39" t="s">
        <v>375</v>
      </c>
    </row>
    <row r="165">
      <c r="A165" s="38" t="s">
        <v>376</v>
      </c>
      <c r="B165" s="39" t="s">
        <v>377</v>
      </c>
    </row>
    <row r="166">
      <c r="A166" s="38" t="s">
        <v>378</v>
      </c>
      <c r="B166" s="39" t="s">
        <v>379</v>
      </c>
    </row>
    <row r="167">
      <c r="A167" s="38" t="s">
        <v>380</v>
      </c>
      <c r="B167" s="39" t="s">
        <v>381</v>
      </c>
    </row>
    <row r="168">
      <c r="A168" s="38" t="s">
        <v>382</v>
      </c>
      <c r="B168" s="39" t="s">
        <v>383</v>
      </c>
    </row>
    <row r="169">
      <c r="A169" s="38" t="s">
        <v>384</v>
      </c>
      <c r="B169" s="39" t="s">
        <v>385</v>
      </c>
    </row>
    <row r="170">
      <c r="A170" s="38" t="s">
        <v>386</v>
      </c>
      <c r="B170" s="39" t="s">
        <v>387</v>
      </c>
    </row>
    <row r="171">
      <c r="A171" s="38" t="s">
        <v>388</v>
      </c>
      <c r="B171" s="39" t="s">
        <v>389</v>
      </c>
    </row>
    <row r="172">
      <c r="A172" s="38" t="s">
        <v>390</v>
      </c>
      <c r="B172" s="39" t="s">
        <v>391</v>
      </c>
    </row>
    <row r="173">
      <c r="A173" s="38" t="s">
        <v>392</v>
      </c>
      <c r="B173" s="39" t="s">
        <v>393</v>
      </c>
    </row>
    <row r="174">
      <c r="A174" s="38" t="s">
        <v>394</v>
      </c>
      <c r="B174" s="39" t="s">
        <v>395</v>
      </c>
    </row>
    <row r="175">
      <c r="A175" s="38" t="s">
        <v>396</v>
      </c>
      <c r="B175" s="39" t="s">
        <v>397</v>
      </c>
    </row>
    <row r="176">
      <c r="A176" s="38" t="s">
        <v>398</v>
      </c>
      <c r="B176" s="39" t="s">
        <v>399</v>
      </c>
    </row>
    <row r="177">
      <c r="A177" s="38" t="s">
        <v>400</v>
      </c>
      <c r="B177" s="39" t="s">
        <v>401</v>
      </c>
    </row>
    <row r="178">
      <c r="A178" s="38" t="s">
        <v>402</v>
      </c>
      <c r="B178" s="39" t="s">
        <v>403</v>
      </c>
    </row>
    <row r="179">
      <c r="A179" s="38" t="s">
        <v>404</v>
      </c>
      <c r="B179" s="39" t="s">
        <v>405</v>
      </c>
    </row>
    <row r="180">
      <c r="A180" s="38" t="s">
        <v>406</v>
      </c>
      <c r="B180" s="39" t="s">
        <v>407</v>
      </c>
    </row>
    <row r="181">
      <c r="A181" s="38" t="s">
        <v>408</v>
      </c>
      <c r="B181" s="39" t="s">
        <v>409</v>
      </c>
    </row>
    <row r="182">
      <c r="A182" s="38" t="s">
        <v>410</v>
      </c>
      <c r="B182" s="39" t="s">
        <v>411</v>
      </c>
    </row>
    <row r="183">
      <c r="A183" s="38" t="s">
        <v>412</v>
      </c>
      <c r="B183" s="39" t="s">
        <v>413</v>
      </c>
    </row>
    <row r="184">
      <c r="A184" s="38" t="s">
        <v>414</v>
      </c>
      <c r="B184" s="39" t="s">
        <v>415</v>
      </c>
    </row>
    <row r="185">
      <c r="A185" s="38" t="s">
        <v>416</v>
      </c>
      <c r="B185" s="39" t="s">
        <v>417</v>
      </c>
    </row>
    <row r="186">
      <c r="A186" s="38" t="s">
        <v>418</v>
      </c>
      <c r="B186" s="39" t="s">
        <v>419</v>
      </c>
    </row>
    <row r="187">
      <c r="A187" s="38" t="s">
        <v>420</v>
      </c>
      <c r="B187" s="39" t="s">
        <v>421</v>
      </c>
    </row>
    <row r="188">
      <c r="A188" s="38" t="s">
        <v>422</v>
      </c>
      <c r="B188" s="39" t="s">
        <v>423</v>
      </c>
    </row>
    <row r="189">
      <c r="A189" s="38" t="s">
        <v>424</v>
      </c>
      <c r="B189" s="39" t="s">
        <v>425</v>
      </c>
    </row>
    <row r="190">
      <c r="A190" s="38" t="s">
        <v>426</v>
      </c>
      <c r="B190" s="39" t="s">
        <v>427</v>
      </c>
    </row>
    <row r="191">
      <c r="A191" s="38" t="s">
        <v>428</v>
      </c>
      <c r="B191" s="39" t="s">
        <v>429</v>
      </c>
    </row>
    <row r="192">
      <c r="A192" s="38" t="s">
        <v>430</v>
      </c>
      <c r="B192" s="39" t="s">
        <v>431</v>
      </c>
    </row>
    <row r="193">
      <c r="A193" s="38" t="s">
        <v>432</v>
      </c>
      <c r="B193" s="39" t="s">
        <v>433</v>
      </c>
    </row>
    <row r="194">
      <c r="A194" s="40" t="s">
        <v>434</v>
      </c>
      <c r="B194" s="41" t="s">
        <v>435</v>
      </c>
    </row>
    <row r="195">
      <c r="A195" s="38" t="s">
        <v>436</v>
      </c>
      <c r="B195" s="39" t="s">
        <v>437</v>
      </c>
    </row>
    <row r="196">
      <c r="A196" s="38" t="s">
        <v>438</v>
      </c>
      <c r="B196" s="39" t="s">
        <v>439</v>
      </c>
    </row>
    <row r="197">
      <c r="A197" s="38" t="s">
        <v>440</v>
      </c>
      <c r="B197" s="39" t="s">
        <v>441</v>
      </c>
    </row>
    <row r="198">
      <c r="A198" s="38" t="s">
        <v>442</v>
      </c>
      <c r="B198" s="39" t="s">
        <v>443</v>
      </c>
    </row>
    <row r="199">
      <c r="A199" s="38" t="s">
        <v>444</v>
      </c>
      <c r="B199" s="39" t="s">
        <v>445</v>
      </c>
    </row>
    <row r="200">
      <c r="A200" s="38" t="s">
        <v>446</v>
      </c>
      <c r="B200" s="39" t="s">
        <v>447</v>
      </c>
    </row>
    <row r="201">
      <c r="A201" s="38" t="s">
        <v>448</v>
      </c>
      <c r="B201" s="39" t="s">
        <v>449</v>
      </c>
    </row>
    <row r="202">
      <c r="A202" s="38" t="s">
        <v>450</v>
      </c>
      <c r="B202" s="39" t="s">
        <v>451</v>
      </c>
    </row>
    <row r="203">
      <c r="A203" s="38" t="s">
        <v>452</v>
      </c>
      <c r="B203" s="39" t="s">
        <v>453</v>
      </c>
    </row>
    <row r="204">
      <c r="A204" s="38" t="s">
        <v>454</v>
      </c>
      <c r="B204" s="39" t="s">
        <v>455</v>
      </c>
    </row>
    <row r="205">
      <c r="A205" s="38" t="s">
        <v>456</v>
      </c>
      <c r="B205" s="39" t="s">
        <v>457</v>
      </c>
    </row>
    <row r="206">
      <c r="A206" s="38" t="s">
        <v>458</v>
      </c>
      <c r="B206" s="39" t="s">
        <v>459</v>
      </c>
    </row>
    <row r="207">
      <c r="A207" s="45" t="s">
        <v>460</v>
      </c>
      <c r="B207" s="39" t="s">
        <v>461</v>
      </c>
    </row>
    <row r="208">
      <c r="A208" s="38" t="s">
        <v>462</v>
      </c>
      <c r="B208" s="39" t="s">
        <v>463</v>
      </c>
    </row>
    <row r="209">
      <c r="A209" s="38" t="s">
        <v>464</v>
      </c>
      <c r="B209" s="39" t="s">
        <v>465</v>
      </c>
    </row>
    <row r="210">
      <c r="A210" s="38" t="s">
        <v>466</v>
      </c>
      <c r="B210" s="39" t="s">
        <v>467</v>
      </c>
    </row>
    <row r="211">
      <c r="A211" s="38" t="s">
        <v>468</v>
      </c>
      <c r="B211" s="39" t="s">
        <v>469</v>
      </c>
    </row>
    <row r="212">
      <c r="A212" s="38" t="s">
        <v>470</v>
      </c>
      <c r="B212" s="39" t="s">
        <v>471</v>
      </c>
    </row>
    <row r="213">
      <c r="A213" s="40" t="s">
        <v>472</v>
      </c>
      <c r="B213" s="41" t="s">
        <v>473</v>
      </c>
    </row>
    <row r="214">
      <c r="A214" s="38" t="s">
        <v>474</v>
      </c>
      <c r="B214" s="39" t="s">
        <v>475</v>
      </c>
    </row>
    <row r="215">
      <c r="A215" s="38" t="s">
        <v>476</v>
      </c>
      <c r="B215" s="39" t="s">
        <v>477</v>
      </c>
    </row>
    <row r="216">
      <c r="A216" s="38" t="s">
        <v>478</v>
      </c>
      <c r="B216" s="39" t="s">
        <v>479</v>
      </c>
    </row>
    <row r="217">
      <c r="A217" s="38" t="s">
        <v>480</v>
      </c>
      <c r="B217" s="39" t="s">
        <v>481</v>
      </c>
    </row>
    <row r="218">
      <c r="A218" s="38" t="s">
        <v>482</v>
      </c>
      <c r="B218" s="39" t="s">
        <v>483</v>
      </c>
    </row>
    <row r="219">
      <c r="A219" s="38" t="s">
        <v>484</v>
      </c>
      <c r="B219" s="39" t="s">
        <v>485</v>
      </c>
    </row>
    <row r="220">
      <c r="A220" s="38" t="s">
        <v>486</v>
      </c>
      <c r="B220" s="39" t="s">
        <v>487</v>
      </c>
    </row>
    <row r="221">
      <c r="A221" s="38" t="s">
        <v>488</v>
      </c>
      <c r="B221" s="39" t="s">
        <v>489</v>
      </c>
    </row>
    <row r="222">
      <c r="A222" s="38" t="s">
        <v>490</v>
      </c>
      <c r="B222" s="39" t="s">
        <v>491</v>
      </c>
    </row>
    <row r="223">
      <c r="A223" s="38" t="s">
        <v>492</v>
      </c>
      <c r="B223" s="39" t="s">
        <v>493</v>
      </c>
    </row>
    <row r="224">
      <c r="A224" s="38" t="s">
        <v>494</v>
      </c>
      <c r="B224" s="39" t="s">
        <v>495</v>
      </c>
    </row>
    <row r="225">
      <c r="A225" s="38" t="s">
        <v>496</v>
      </c>
      <c r="B225" s="39" t="s">
        <v>497</v>
      </c>
    </row>
    <row r="226">
      <c r="A226" s="38" t="s">
        <v>498</v>
      </c>
      <c r="B226" s="39" t="s">
        <v>499</v>
      </c>
    </row>
    <row r="227">
      <c r="A227" s="38" t="s">
        <v>500</v>
      </c>
      <c r="B227" s="39" t="s">
        <v>501</v>
      </c>
    </row>
    <row r="228">
      <c r="A228" s="38" t="s">
        <v>502</v>
      </c>
      <c r="B228" s="39" t="s">
        <v>503</v>
      </c>
    </row>
    <row r="229">
      <c r="A229" s="38" t="s">
        <v>504</v>
      </c>
      <c r="B229" s="39" t="s">
        <v>505</v>
      </c>
    </row>
    <row r="230">
      <c r="A230" s="38" t="s">
        <v>506</v>
      </c>
      <c r="B230" s="39" t="s">
        <v>507</v>
      </c>
    </row>
    <row r="231">
      <c r="A231" s="38" t="s">
        <v>508</v>
      </c>
      <c r="B231" s="39" t="s">
        <v>509</v>
      </c>
    </row>
    <row r="232">
      <c r="A232" s="38" t="s">
        <v>510</v>
      </c>
      <c r="B232" s="39" t="s">
        <v>511</v>
      </c>
    </row>
    <row r="233">
      <c r="A233" s="38" t="s">
        <v>512</v>
      </c>
      <c r="B233" s="39" t="s">
        <v>513</v>
      </c>
    </row>
    <row r="234">
      <c r="A234" s="38" t="s">
        <v>514</v>
      </c>
      <c r="B234" s="43" t="s">
        <v>515</v>
      </c>
    </row>
    <row r="235">
      <c r="A235" s="38" t="s">
        <v>516</v>
      </c>
      <c r="B235" s="39" t="s">
        <v>517</v>
      </c>
    </row>
    <row r="236">
      <c r="A236" s="38" t="s">
        <v>518</v>
      </c>
      <c r="B236" s="39" t="s">
        <v>519</v>
      </c>
    </row>
    <row r="237">
      <c r="A237" s="38" t="s">
        <v>520</v>
      </c>
      <c r="B237" s="39" t="s">
        <v>521</v>
      </c>
    </row>
    <row r="238">
      <c r="A238" s="38" t="s">
        <v>522</v>
      </c>
      <c r="B238" s="39" t="s">
        <v>523</v>
      </c>
    </row>
    <row r="239">
      <c r="A239" s="38" t="s">
        <v>524</v>
      </c>
      <c r="B239" s="46" t="s">
        <v>525</v>
      </c>
    </row>
    <row r="240">
      <c r="A240" s="38" t="s">
        <v>526</v>
      </c>
      <c r="B240" s="39" t="s">
        <v>527</v>
      </c>
    </row>
    <row r="241">
      <c r="A241" s="38" t="s">
        <v>528</v>
      </c>
      <c r="B241" s="39" t="s">
        <v>529</v>
      </c>
    </row>
    <row r="242">
      <c r="A242" s="38" t="s">
        <v>530</v>
      </c>
      <c r="B242" s="39" t="s">
        <v>531</v>
      </c>
    </row>
    <row r="243">
      <c r="A243" s="38" t="s">
        <v>532</v>
      </c>
      <c r="B243" s="39" t="s">
        <v>533</v>
      </c>
    </row>
    <row r="244">
      <c r="A244" s="38" t="s">
        <v>534</v>
      </c>
      <c r="B244" s="39" t="s">
        <v>535</v>
      </c>
    </row>
    <row r="245">
      <c r="A245" s="38" t="s">
        <v>536</v>
      </c>
      <c r="B245" s="39" t="s">
        <v>537</v>
      </c>
    </row>
    <row r="246">
      <c r="A246" s="38" t="s">
        <v>538</v>
      </c>
      <c r="B246" s="39" t="s">
        <v>539</v>
      </c>
    </row>
    <row r="247">
      <c r="A247" s="38" t="s">
        <v>540</v>
      </c>
      <c r="B247" s="39" t="s">
        <v>541</v>
      </c>
    </row>
    <row r="248">
      <c r="A248" s="38" t="s">
        <v>542</v>
      </c>
      <c r="B248" s="39" t="s">
        <v>543</v>
      </c>
    </row>
    <row r="249">
      <c r="A249" s="38" t="s">
        <v>544</v>
      </c>
      <c r="B249" s="39" t="s">
        <v>545</v>
      </c>
    </row>
    <row r="250">
      <c r="A250" s="38" t="s">
        <v>546</v>
      </c>
      <c r="B250" s="39" t="s">
        <v>547</v>
      </c>
    </row>
    <row r="251">
      <c r="A251" s="38" t="s">
        <v>548</v>
      </c>
      <c r="B251" s="39" t="s">
        <v>549</v>
      </c>
    </row>
    <row r="252">
      <c r="A252" s="38" t="s">
        <v>550</v>
      </c>
      <c r="B252" s="39" t="s">
        <v>551</v>
      </c>
    </row>
    <row r="253">
      <c r="A253" s="38" t="s">
        <v>552</v>
      </c>
      <c r="B253" s="39" t="s">
        <v>553</v>
      </c>
    </row>
    <row r="254">
      <c r="A254" s="38" t="s">
        <v>554</v>
      </c>
      <c r="B254" s="39" t="s">
        <v>555</v>
      </c>
    </row>
    <row r="255">
      <c r="A255" s="38" t="s">
        <v>556</v>
      </c>
      <c r="B255" s="39" t="s">
        <v>557</v>
      </c>
    </row>
    <row r="256">
      <c r="A256" s="38" t="s">
        <v>558</v>
      </c>
      <c r="B256" s="39" t="s">
        <v>559</v>
      </c>
    </row>
    <row r="257">
      <c r="A257" s="38" t="s">
        <v>560</v>
      </c>
      <c r="B257" s="39" t="s">
        <v>561</v>
      </c>
    </row>
    <row r="258">
      <c r="A258" s="38" t="s">
        <v>562</v>
      </c>
      <c r="B258" s="39" t="s">
        <v>563</v>
      </c>
    </row>
    <row r="259">
      <c r="A259" s="38" t="s">
        <v>564</v>
      </c>
      <c r="B259" s="39" t="s">
        <v>565</v>
      </c>
    </row>
    <row r="260">
      <c r="A260" s="38" t="s">
        <v>566</v>
      </c>
      <c r="B260" s="39" t="s">
        <v>567</v>
      </c>
    </row>
    <row r="261">
      <c r="A261" s="38" t="s">
        <v>568</v>
      </c>
      <c r="B261" s="39" t="s">
        <v>569</v>
      </c>
    </row>
    <row r="262">
      <c r="A262" s="38" t="s">
        <v>570</v>
      </c>
      <c r="B262" s="39" t="s">
        <v>571</v>
      </c>
    </row>
    <row r="263">
      <c r="A263" s="38" t="s">
        <v>572</v>
      </c>
      <c r="B263" s="39" t="s">
        <v>573</v>
      </c>
    </row>
    <row r="264">
      <c r="A264" s="38" t="s">
        <v>574</v>
      </c>
      <c r="B264" s="39" t="s">
        <v>575</v>
      </c>
    </row>
    <row r="265">
      <c r="A265" s="38" t="s">
        <v>576</v>
      </c>
      <c r="B265" s="39" t="s">
        <v>577</v>
      </c>
    </row>
    <row r="266">
      <c r="A266" s="38" t="s">
        <v>578</v>
      </c>
      <c r="B266" s="39" t="s">
        <v>579</v>
      </c>
    </row>
    <row r="267">
      <c r="A267" s="38" t="s">
        <v>580</v>
      </c>
      <c r="B267" s="39" t="s">
        <v>581</v>
      </c>
    </row>
    <row r="268">
      <c r="A268" s="38" t="s">
        <v>582</v>
      </c>
      <c r="B268" s="39" t="s">
        <v>583</v>
      </c>
    </row>
    <row r="269">
      <c r="A269" s="38" t="s">
        <v>584</v>
      </c>
      <c r="B269" s="39" t="s">
        <v>585</v>
      </c>
    </row>
    <row r="270">
      <c r="A270" s="38" t="s">
        <v>586</v>
      </c>
      <c r="B270" s="39" t="s">
        <v>587</v>
      </c>
    </row>
    <row r="271">
      <c r="A271" s="38" t="s">
        <v>588</v>
      </c>
      <c r="B271" s="39" t="s">
        <v>589</v>
      </c>
    </row>
    <row r="272">
      <c r="A272" s="38" t="s">
        <v>590</v>
      </c>
      <c r="B272" s="39" t="s">
        <v>591</v>
      </c>
    </row>
    <row r="273">
      <c r="A273" s="38" t="s">
        <v>592</v>
      </c>
      <c r="B273" s="39" t="s">
        <v>593</v>
      </c>
    </row>
    <row r="274">
      <c r="A274" s="38" t="s">
        <v>594</v>
      </c>
      <c r="B274" s="39" t="s">
        <v>595</v>
      </c>
    </row>
    <row r="275">
      <c r="A275" s="38" t="s">
        <v>596</v>
      </c>
      <c r="B275" s="39" t="s">
        <v>597</v>
      </c>
    </row>
    <row r="276">
      <c r="A276" s="38" t="s">
        <v>598</v>
      </c>
      <c r="B276" s="39" t="s">
        <v>599</v>
      </c>
    </row>
    <row r="277">
      <c r="A277" s="38" t="s">
        <v>600</v>
      </c>
      <c r="B277" s="39" t="s">
        <v>601</v>
      </c>
    </row>
    <row r="278">
      <c r="A278" s="38" t="s">
        <v>602</v>
      </c>
      <c r="B278" s="39" t="s">
        <v>603</v>
      </c>
    </row>
    <row r="279">
      <c r="A279" s="38" t="s">
        <v>604</v>
      </c>
      <c r="B279" s="39" t="s">
        <v>605</v>
      </c>
    </row>
    <row r="280">
      <c r="A280" s="38" t="s">
        <v>606</v>
      </c>
      <c r="B280" s="39" t="s">
        <v>607</v>
      </c>
    </row>
    <row r="281">
      <c r="A281" s="38" t="s">
        <v>608</v>
      </c>
      <c r="B281" s="39" t="s">
        <v>609</v>
      </c>
    </row>
    <row r="282">
      <c r="A282" s="38" t="s">
        <v>610</v>
      </c>
      <c r="B282" s="39" t="s">
        <v>611</v>
      </c>
    </row>
    <row r="283">
      <c r="A283" s="38" t="s">
        <v>612</v>
      </c>
      <c r="B283" s="39" t="s">
        <v>613</v>
      </c>
    </row>
    <row r="284">
      <c r="A284" s="38" t="s">
        <v>614</v>
      </c>
      <c r="B284" s="39" t="s">
        <v>615</v>
      </c>
    </row>
    <row r="285">
      <c r="A285" s="38" t="s">
        <v>616</v>
      </c>
      <c r="B285" s="39" t="s">
        <v>617</v>
      </c>
    </row>
    <row r="286">
      <c r="A286" s="38" t="s">
        <v>618</v>
      </c>
      <c r="B286" s="39" t="s">
        <v>619</v>
      </c>
    </row>
    <row r="287">
      <c r="A287" s="38" t="s">
        <v>620</v>
      </c>
      <c r="B287" s="39" t="s">
        <v>621</v>
      </c>
    </row>
    <row r="288">
      <c r="A288" s="38" t="s">
        <v>622</v>
      </c>
      <c r="B288" s="39" t="s">
        <v>623</v>
      </c>
    </row>
    <row r="289">
      <c r="A289" s="38" t="s">
        <v>624</v>
      </c>
      <c r="B289" s="39" t="s">
        <v>625</v>
      </c>
    </row>
    <row r="290">
      <c r="A290" s="38" t="s">
        <v>626</v>
      </c>
      <c r="B290" s="39" t="s">
        <v>627</v>
      </c>
    </row>
    <row r="291">
      <c r="A291" s="38" t="s">
        <v>628</v>
      </c>
      <c r="B291" s="39" t="s">
        <v>629</v>
      </c>
    </row>
    <row r="292">
      <c r="A292" s="38" t="s">
        <v>630</v>
      </c>
      <c r="B292" s="39" t="s">
        <v>631</v>
      </c>
    </row>
    <row r="293">
      <c r="A293" s="38" t="s">
        <v>632</v>
      </c>
      <c r="B293" s="39" t="s">
        <v>633</v>
      </c>
    </row>
    <row r="294">
      <c r="A294" s="38" t="s">
        <v>634</v>
      </c>
      <c r="B294" s="39" t="s">
        <v>635</v>
      </c>
    </row>
    <row r="295">
      <c r="A295" s="38" t="s">
        <v>636</v>
      </c>
      <c r="B295" s="39" t="s">
        <v>637</v>
      </c>
    </row>
    <row r="296">
      <c r="A296" s="40" t="s">
        <v>638</v>
      </c>
      <c r="B296" s="41" t="s">
        <v>639</v>
      </c>
    </row>
    <row r="297">
      <c r="A297" s="38" t="s">
        <v>640</v>
      </c>
      <c r="B297" s="39" t="s">
        <v>641</v>
      </c>
    </row>
    <row r="298">
      <c r="A298" s="38" t="s">
        <v>642</v>
      </c>
      <c r="B298" s="39" t="s">
        <v>643</v>
      </c>
    </row>
    <row r="299">
      <c r="A299" s="38" t="s">
        <v>644</v>
      </c>
      <c r="B299" s="39" t="s">
        <v>645</v>
      </c>
    </row>
    <row r="300">
      <c r="A300" s="38" t="s">
        <v>646</v>
      </c>
      <c r="B300" s="39" t="s">
        <v>647</v>
      </c>
    </row>
    <row r="301">
      <c r="A301" s="38" t="s">
        <v>648</v>
      </c>
      <c r="B301" s="39" t="s">
        <v>649</v>
      </c>
    </row>
    <row r="302">
      <c r="A302" s="38" t="s">
        <v>650</v>
      </c>
      <c r="B302" s="39" t="s">
        <v>651</v>
      </c>
    </row>
    <row r="303">
      <c r="A303" s="38" t="s">
        <v>652</v>
      </c>
      <c r="B303" s="39" t="s">
        <v>653</v>
      </c>
    </row>
    <row r="304">
      <c r="A304" s="38" t="s">
        <v>654</v>
      </c>
      <c r="B304" s="39" t="s">
        <v>655</v>
      </c>
    </row>
    <row r="305">
      <c r="A305" s="38" t="s">
        <v>656</v>
      </c>
      <c r="B305" s="39" t="s">
        <v>657</v>
      </c>
    </row>
    <row r="306">
      <c r="A306" s="38" t="s">
        <v>658</v>
      </c>
      <c r="B306" s="39" t="s">
        <v>659</v>
      </c>
    </row>
    <row r="307">
      <c r="A307" s="38" t="s">
        <v>660</v>
      </c>
      <c r="B307" s="39" t="s">
        <v>661</v>
      </c>
    </row>
    <row r="308">
      <c r="A308" s="38" t="s">
        <v>662</v>
      </c>
      <c r="B308" s="39" t="s">
        <v>663</v>
      </c>
    </row>
    <row r="309">
      <c r="A309" s="38" t="s">
        <v>664</v>
      </c>
      <c r="B309" s="39" t="s">
        <v>665</v>
      </c>
    </row>
    <row r="310">
      <c r="A310" s="38" t="s">
        <v>666</v>
      </c>
      <c r="B310" s="39" t="s">
        <v>667</v>
      </c>
    </row>
    <row r="311">
      <c r="A311" s="38" t="s">
        <v>668</v>
      </c>
      <c r="B311" s="39" t="s">
        <v>669</v>
      </c>
    </row>
    <row r="312">
      <c r="A312" s="38" t="s">
        <v>670</v>
      </c>
      <c r="B312" s="39" t="s">
        <v>671</v>
      </c>
    </row>
    <row r="313">
      <c r="A313" s="38" t="s">
        <v>672</v>
      </c>
      <c r="B313" s="39" t="s">
        <v>673</v>
      </c>
    </row>
    <row r="314">
      <c r="A314" s="38" t="s">
        <v>674</v>
      </c>
      <c r="B314" s="39" t="s">
        <v>675</v>
      </c>
    </row>
    <row r="315">
      <c r="A315" s="38" t="s">
        <v>676</v>
      </c>
      <c r="B315" s="39" t="s">
        <v>677</v>
      </c>
    </row>
    <row r="316">
      <c r="A316" s="38" t="s">
        <v>678</v>
      </c>
      <c r="B316" s="39" t="s">
        <v>679</v>
      </c>
    </row>
    <row r="317">
      <c r="A317" s="38" t="s">
        <v>680</v>
      </c>
      <c r="B317" s="39" t="s">
        <v>681</v>
      </c>
    </row>
    <row r="318">
      <c r="A318" s="38" t="s">
        <v>682</v>
      </c>
      <c r="B318" s="39" t="s">
        <v>683</v>
      </c>
    </row>
    <row r="319">
      <c r="A319" s="38" t="s">
        <v>684</v>
      </c>
      <c r="B319" s="39" t="s">
        <v>685</v>
      </c>
    </row>
    <row r="320">
      <c r="A320" s="47" t="s">
        <v>686</v>
      </c>
      <c r="B320" s="39" t="s">
        <v>687</v>
      </c>
    </row>
    <row r="321">
      <c r="A321" s="38" t="s">
        <v>688</v>
      </c>
      <c r="B321" s="39" t="s">
        <v>689</v>
      </c>
    </row>
    <row r="322">
      <c r="A322" s="38" t="s">
        <v>690</v>
      </c>
      <c r="B322" s="39" t="s">
        <v>691</v>
      </c>
    </row>
    <row r="323">
      <c r="A323" s="38" t="s">
        <v>692</v>
      </c>
      <c r="B323" s="39" t="s">
        <v>693</v>
      </c>
    </row>
    <row r="324">
      <c r="A324" s="38" t="s">
        <v>694</v>
      </c>
      <c r="B324" s="39" t="s">
        <v>695</v>
      </c>
    </row>
    <row r="325">
      <c r="A325" s="38" t="s">
        <v>696</v>
      </c>
      <c r="B325" s="39" t="s">
        <v>697</v>
      </c>
    </row>
    <row r="326">
      <c r="A326" s="38" t="s">
        <v>698</v>
      </c>
      <c r="B326" s="39" t="s">
        <v>699</v>
      </c>
    </row>
    <row r="327">
      <c r="A327" s="38" t="s">
        <v>700</v>
      </c>
      <c r="B327" s="39" t="s">
        <v>701</v>
      </c>
    </row>
    <row r="328">
      <c r="A328" s="38" t="s">
        <v>702</v>
      </c>
      <c r="B328" s="39" t="s">
        <v>703</v>
      </c>
    </row>
    <row r="329">
      <c r="A329" s="38" t="s">
        <v>704</v>
      </c>
      <c r="B329" s="39" t="s">
        <v>705</v>
      </c>
    </row>
    <row r="330">
      <c r="A330" s="38" t="s">
        <v>706</v>
      </c>
      <c r="B330" s="39" t="s">
        <v>707</v>
      </c>
    </row>
    <row r="331">
      <c r="A331" s="38" t="s">
        <v>708</v>
      </c>
      <c r="B331" s="39" t="s">
        <v>709</v>
      </c>
    </row>
    <row r="332">
      <c r="A332" s="38" t="s">
        <v>710</v>
      </c>
      <c r="B332" s="39" t="s">
        <v>711</v>
      </c>
    </row>
    <row r="333">
      <c r="A333" s="38" t="s">
        <v>712</v>
      </c>
      <c r="B333" s="43" t="s">
        <v>713</v>
      </c>
    </row>
    <row r="334">
      <c r="A334" s="38" t="s">
        <v>714</v>
      </c>
      <c r="B334" s="39" t="s">
        <v>715</v>
      </c>
    </row>
    <row r="335">
      <c r="A335" s="38" t="s">
        <v>716</v>
      </c>
      <c r="B335" s="39" t="s">
        <v>717</v>
      </c>
    </row>
    <row r="336">
      <c r="A336" s="38" t="s">
        <v>718</v>
      </c>
      <c r="B336" s="39" t="s">
        <v>719</v>
      </c>
    </row>
    <row r="337">
      <c r="A337" s="38" t="s">
        <v>720</v>
      </c>
      <c r="B337" s="39" t="s">
        <v>721</v>
      </c>
    </row>
    <row r="338">
      <c r="A338" s="38" t="s">
        <v>722</v>
      </c>
      <c r="B338" s="39" t="s">
        <v>723</v>
      </c>
    </row>
    <row r="339">
      <c r="A339" s="38" t="s">
        <v>724</v>
      </c>
      <c r="B339" s="39" t="s">
        <v>725</v>
      </c>
    </row>
    <row r="340">
      <c r="A340" s="38" t="s">
        <v>726</v>
      </c>
      <c r="B340" s="39" t="s">
        <v>727</v>
      </c>
    </row>
    <row r="341">
      <c r="A341" s="38" t="s">
        <v>728</v>
      </c>
      <c r="B341" s="42" t="s">
        <v>729</v>
      </c>
    </row>
    <row r="342">
      <c r="A342" s="38" t="s">
        <v>730</v>
      </c>
      <c r="B342" s="39" t="s">
        <v>731</v>
      </c>
    </row>
    <row r="343">
      <c r="A343" s="38" t="s">
        <v>732</v>
      </c>
      <c r="B343" s="39" t="s">
        <v>733</v>
      </c>
    </row>
    <row r="344">
      <c r="A344" s="38" t="s">
        <v>734</v>
      </c>
      <c r="B344" s="39" t="s">
        <v>735</v>
      </c>
    </row>
    <row r="345">
      <c r="A345" s="38" t="s">
        <v>736</v>
      </c>
      <c r="B345" s="39" t="s">
        <v>737</v>
      </c>
    </row>
    <row r="346">
      <c r="A346" s="38" t="s">
        <v>738</v>
      </c>
      <c r="B346" s="39" t="s">
        <v>739</v>
      </c>
    </row>
    <row r="347">
      <c r="A347" s="38" t="s">
        <v>740</v>
      </c>
      <c r="B347" s="39" t="s">
        <v>741</v>
      </c>
    </row>
    <row r="348">
      <c r="A348" s="38" t="s">
        <v>742</v>
      </c>
      <c r="B348" s="39" t="s">
        <v>743</v>
      </c>
    </row>
    <row r="349">
      <c r="A349" s="38" t="s">
        <v>744</v>
      </c>
      <c r="B349" s="39" t="s">
        <v>745</v>
      </c>
    </row>
    <row r="350">
      <c r="A350" s="38" t="s">
        <v>746</v>
      </c>
      <c r="B350" s="39" t="s">
        <v>747</v>
      </c>
    </row>
    <row r="351">
      <c r="A351" s="38" t="s">
        <v>748</v>
      </c>
      <c r="B351" s="39" t="s">
        <v>749</v>
      </c>
    </row>
    <row r="352">
      <c r="A352" s="38" t="s">
        <v>750</v>
      </c>
      <c r="B352" s="39" t="s">
        <v>751</v>
      </c>
    </row>
    <row r="353">
      <c r="A353" s="38" t="s">
        <v>752</v>
      </c>
      <c r="B353" s="39" t="s">
        <v>753</v>
      </c>
    </row>
    <row r="354">
      <c r="A354" s="38" t="s">
        <v>754</v>
      </c>
      <c r="B354" s="39" t="s">
        <v>755</v>
      </c>
    </row>
    <row r="355">
      <c r="A355" s="38" t="s">
        <v>756</v>
      </c>
      <c r="B355" s="39" t="s">
        <v>757</v>
      </c>
    </row>
    <row r="356">
      <c r="A356" s="38" t="s">
        <v>758</v>
      </c>
      <c r="B356" s="39" t="s">
        <v>759</v>
      </c>
    </row>
    <row r="357">
      <c r="A357" s="38" t="s">
        <v>760</v>
      </c>
      <c r="B357" s="39" t="s">
        <v>761</v>
      </c>
    </row>
    <row r="358">
      <c r="A358" s="38" t="s">
        <v>762</v>
      </c>
      <c r="B358" s="39" t="s">
        <v>763</v>
      </c>
    </row>
    <row r="359">
      <c r="A359" s="38" t="s">
        <v>764</v>
      </c>
      <c r="B359" s="39" t="s">
        <v>765</v>
      </c>
    </row>
    <row r="360">
      <c r="A360" s="38" t="s">
        <v>766</v>
      </c>
      <c r="B360" s="39" t="s">
        <v>767</v>
      </c>
    </row>
    <row r="361">
      <c r="A361" s="38" t="s">
        <v>768</v>
      </c>
      <c r="B361" s="39" t="s">
        <v>769</v>
      </c>
    </row>
    <row r="362">
      <c r="A362" s="38" t="s">
        <v>770</v>
      </c>
      <c r="B362" s="39" t="s">
        <v>771</v>
      </c>
    </row>
    <row r="363">
      <c r="A363" s="38" t="s">
        <v>772</v>
      </c>
      <c r="B363" s="39" t="s">
        <v>773</v>
      </c>
    </row>
    <row r="364">
      <c r="A364" s="38" t="s">
        <v>774</v>
      </c>
      <c r="B364" s="39" t="s">
        <v>775</v>
      </c>
    </row>
    <row r="365">
      <c r="A365" s="38" t="s">
        <v>776</v>
      </c>
      <c r="B365" s="39" t="s">
        <v>777</v>
      </c>
    </row>
    <row r="366">
      <c r="A366" s="38" t="s">
        <v>778</v>
      </c>
      <c r="B366" s="39" t="s">
        <v>779</v>
      </c>
    </row>
    <row r="367">
      <c r="A367" s="38" t="s">
        <v>780</v>
      </c>
      <c r="B367" s="39" t="s">
        <v>781</v>
      </c>
    </row>
    <row r="368">
      <c r="A368" s="40" t="s">
        <v>782</v>
      </c>
      <c r="B368" s="41" t="s">
        <v>783</v>
      </c>
    </row>
    <row r="369">
      <c r="A369" s="38" t="s">
        <v>784</v>
      </c>
      <c r="B369" s="39" t="s">
        <v>785</v>
      </c>
    </row>
    <row r="370">
      <c r="A370" s="38" t="s">
        <v>786</v>
      </c>
      <c r="B370" s="39" t="s">
        <v>787</v>
      </c>
    </row>
    <row r="371">
      <c r="A371" s="38" t="s">
        <v>788</v>
      </c>
      <c r="B371" s="39" t="s">
        <v>789</v>
      </c>
    </row>
    <row r="372">
      <c r="A372" s="38" t="s">
        <v>790</v>
      </c>
      <c r="B372" s="39" t="s">
        <v>791</v>
      </c>
    </row>
    <row r="373">
      <c r="A373" s="38" t="s">
        <v>792</v>
      </c>
      <c r="B373" s="39" t="s">
        <v>793</v>
      </c>
    </row>
    <row r="374">
      <c r="A374" s="38" t="s">
        <v>794</v>
      </c>
      <c r="B374" s="39" t="s">
        <v>795</v>
      </c>
    </row>
    <row r="375">
      <c r="A375" s="38" t="s">
        <v>796</v>
      </c>
      <c r="B375" s="39" t="s">
        <v>797</v>
      </c>
    </row>
    <row r="376">
      <c r="A376" s="45" t="s">
        <v>798</v>
      </c>
      <c r="B376" s="39" t="s">
        <v>799</v>
      </c>
    </row>
    <row r="377">
      <c r="A377" s="40" t="s">
        <v>800</v>
      </c>
      <c r="B377" s="41" t="s">
        <v>801</v>
      </c>
    </row>
    <row r="378">
      <c r="A378" s="38" t="s">
        <v>802</v>
      </c>
      <c r="B378" s="39" t="s">
        <v>803</v>
      </c>
    </row>
    <row r="379">
      <c r="A379" s="38" t="s">
        <v>804</v>
      </c>
      <c r="B379" s="39" t="s">
        <v>805</v>
      </c>
    </row>
    <row r="380">
      <c r="A380" s="38" t="s">
        <v>806</v>
      </c>
      <c r="B380" s="39" t="s">
        <v>807</v>
      </c>
    </row>
    <row r="381">
      <c r="A381" s="38" t="s">
        <v>808</v>
      </c>
      <c r="B381" s="39" t="s">
        <v>809</v>
      </c>
    </row>
    <row r="382">
      <c r="A382" s="38" t="s">
        <v>810</v>
      </c>
      <c r="B382" s="39" t="s">
        <v>811</v>
      </c>
    </row>
    <row r="383">
      <c r="A383" s="38" t="s">
        <v>812</v>
      </c>
      <c r="B383" s="39" t="s">
        <v>813</v>
      </c>
    </row>
    <row r="384">
      <c r="A384" s="38" t="s">
        <v>814</v>
      </c>
      <c r="B384" s="43" t="s">
        <v>815</v>
      </c>
    </row>
    <row r="385">
      <c r="A385" s="38" t="s">
        <v>816</v>
      </c>
      <c r="B385" s="39" t="s">
        <v>817</v>
      </c>
    </row>
    <row r="386">
      <c r="A386" s="38" t="s">
        <v>818</v>
      </c>
      <c r="B386" s="39" t="s">
        <v>819</v>
      </c>
    </row>
    <row r="387">
      <c r="A387" s="38" t="s">
        <v>820</v>
      </c>
      <c r="B387" s="39" t="s">
        <v>821</v>
      </c>
    </row>
    <row r="388">
      <c r="A388" s="38" t="s">
        <v>822</v>
      </c>
      <c r="B388" s="39" t="s">
        <v>823</v>
      </c>
    </row>
    <row r="389">
      <c r="A389" s="38" t="s">
        <v>824</v>
      </c>
      <c r="B389" s="39" t="s">
        <v>825</v>
      </c>
    </row>
    <row r="390">
      <c r="A390" s="38" t="s">
        <v>826</v>
      </c>
      <c r="B390" s="39" t="s">
        <v>827</v>
      </c>
    </row>
    <row r="391">
      <c r="A391" s="38" t="s">
        <v>828</v>
      </c>
      <c r="B391" s="39" t="s">
        <v>829</v>
      </c>
    </row>
    <row r="392">
      <c r="A392" s="38" t="s">
        <v>830</v>
      </c>
      <c r="B392" s="39" t="s">
        <v>831</v>
      </c>
    </row>
    <row r="393">
      <c r="A393" s="38" t="s">
        <v>832</v>
      </c>
      <c r="B393" s="39" t="s">
        <v>833</v>
      </c>
    </row>
    <row r="394">
      <c r="A394" s="38" t="s">
        <v>834</v>
      </c>
      <c r="B394" s="39" t="s">
        <v>835</v>
      </c>
    </row>
    <row r="395">
      <c r="A395" s="38" t="s">
        <v>836</v>
      </c>
      <c r="B395" s="39" t="s">
        <v>837</v>
      </c>
    </row>
    <row r="396">
      <c r="A396" s="38" t="s">
        <v>838</v>
      </c>
      <c r="B396" s="39" t="s">
        <v>839</v>
      </c>
    </row>
    <row r="397">
      <c r="A397" s="38" t="s">
        <v>840</v>
      </c>
      <c r="B397" s="39" t="s">
        <v>841</v>
      </c>
    </row>
    <row r="398">
      <c r="A398" s="38" t="s">
        <v>842</v>
      </c>
      <c r="B398" s="44" t="s">
        <v>843</v>
      </c>
    </row>
    <row r="399">
      <c r="A399" s="38" t="s">
        <v>844</v>
      </c>
      <c r="B399" s="39" t="s">
        <v>845</v>
      </c>
    </row>
    <row r="400">
      <c r="A400" s="38" t="s">
        <v>846</v>
      </c>
      <c r="B400" s="39" t="s">
        <v>847</v>
      </c>
    </row>
    <row r="401">
      <c r="A401" s="38" t="s">
        <v>848</v>
      </c>
      <c r="B401" s="39" t="s">
        <v>849</v>
      </c>
    </row>
    <row r="402">
      <c r="A402" s="38" t="s">
        <v>850</v>
      </c>
      <c r="B402" s="39" t="s">
        <v>851</v>
      </c>
    </row>
    <row r="403">
      <c r="A403" s="38" t="s">
        <v>852</v>
      </c>
      <c r="B403" s="39" t="s">
        <v>853</v>
      </c>
    </row>
    <row r="404">
      <c r="A404" s="38" t="s">
        <v>854</v>
      </c>
      <c r="B404" s="39" t="s">
        <v>855</v>
      </c>
    </row>
    <row r="405">
      <c r="A405" s="38" t="s">
        <v>856</v>
      </c>
      <c r="B405" s="39" t="s">
        <v>857</v>
      </c>
    </row>
    <row r="406">
      <c r="A406" s="38" t="s">
        <v>858</v>
      </c>
      <c r="B406" s="39" t="s">
        <v>859</v>
      </c>
    </row>
    <row r="407">
      <c r="A407" s="38" t="s">
        <v>860</v>
      </c>
      <c r="B407" s="39" t="s">
        <v>861</v>
      </c>
    </row>
    <row r="408">
      <c r="A408" s="38" t="s">
        <v>862</v>
      </c>
      <c r="B408" s="39" t="s">
        <v>863</v>
      </c>
    </row>
    <row r="409">
      <c r="A409" s="38" t="s">
        <v>864</v>
      </c>
      <c r="B409" s="39" t="s">
        <v>865</v>
      </c>
    </row>
    <row r="410">
      <c r="A410" s="38" t="s">
        <v>866</v>
      </c>
      <c r="B410" s="39" t="s">
        <v>867</v>
      </c>
    </row>
    <row r="411">
      <c r="A411" s="38" t="s">
        <v>868</v>
      </c>
      <c r="B411" s="39" t="s">
        <v>869</v>
      </c>
    </row>
    <row r="412">
      <c r="A412" s="38" t="s">
        <v>870</v>
      </c>
      <c r="B412" s="39" t="s">
        <v>871</v>
      </c>
    </row>
    <row r="413">
      <c r="A413" s="38" t="s">
        <v>872</v>
      </c>
      <c r="B413" s="39" t="s">
        <v>873</v>
      </c>
    </row>
    <row r="414">
      <c r="A414" s="38" t="s">
        <v>874</v>
      </c>
      <c r="B414" s="39" t="s">
        <v>875</v>
      </c>
    </row>
    <row r="415">
      <c r="A415" s="38" t="s">
        <v>876</v>
      </c>
      <c r="B415" s="39" t="s">
        <v>877</v>
      </c>
    </row>
    <row r="416">
      <c r="A416" s="38" t="s">
        <v>878</v>
      </c>
      <c r="B416" s="39" t="s">
        <v>879</v>
      </c>
    </row>
    <row r="417">
      <c r="A417" s="38" t="s">
        <v>880</v>
      </c>
      <c r="B417" s="39" t="s">
        <v>881</v>
      </c>
    </row>
    <row r="418">
      <c r="A418" s="38" t="s">
        <v>882</v>
      </c>
      <c r="B418" s="39" t="s">
        <v>883</v>
      </c>
    </row>
    <row r="419">
      <c r="A419" s="38" t="s">
        <v>884</v>
      </c>
      <c r="B419" s="39" t="s">
        <v>885</v>
      </c>
    </row>
    <row r="420">
      <c r="A420" s="38" t="s">
        <v>886</v>
      </c>
      <c r="B420" s="39" t="s">
        <v>887</v>
      </c>
    </row>
    <row r="421">
      <c r="A421" s="38" t="s">
        <v>888</v>
      </c>
      <c r="B421" s="39" t="s">
        <v>889</v>
      </c>
    </row>
    <row r="422">
      <c r="A422" s="38" t="s">
        <v>890</v>
      </c>
      <c r="B422" s="39" t="s">
        <v>891</v>
      </c>
    </row>
    <row r="423">
      <c r="A423" s="38" t="s">
        <v>892</v>
      </c>
      <c r="B423" s="39" t="s">
        <v>893</v>
      </c>
    </row>
    <row r="424">
      <c r="A424" s="38" t="s">
        <v>894</v>
      </c>
      <c r="B424" s="39" t="s">
        <v>895</v>
      </c>
    </row>
    <row r="425">
      <c r="A425" s="38" t="s">
        <v>896</v>
      </c>
      <c r="B425" s="39" t="s">
        <v>897</v>
      </c>
    </row>
    <row r="426">
      <c r="A426" s="38" t="s">
        <v>898</v>
      </c>
      <c r="B426" s="39" t="s">
        <v>899</v>
      </c>
    </row>
    <row r="427">
      <c r="A427" s="38" t="s">
        <v>900</v>
      </c>
      <c r="B427" s="39" t="s">
        <v>901</v>
      </c>
    </row>
    <row r="428">
      <c r="A428" s="38" t="s">
        <v>902</v>
      </c>
      <c r="B428" s="39" t="s">
        <v>903</v>
      </c>
    </row>
    <row r="429">
      <c r="A429" s="48" t="s">
        <v>904</v>
      </c>
      <c r="B429" s="39" t="s">
        <v>905</v>
      </c>
    </row>
    <row r="430">
      <c r="A430" s="38" t="s">
        <v>906</v>
      </c>
      <c r="B430" s="39" t="s">
        <v>907</v>
      </c>
    </row>
    <row r="431">
      <c r="A431" s="38" t="s">
        <v>908</v>
      </c>
      <c r="B431" s="39" t="s">
        <v>909</v>
      </c>
    </row>
    <row r="432">
      <c r="A432" s="38" t="s">
        <v>910</v>
      </c>
      <c r="B432" s="39" t="s">
        <v>911</v>
      </c>
    </row>
    <row r="433">
      <c r="A433" s="38" t="s">
        <v>912</v>
      </c>
      <c r="B433" s="39" t="s">
        <v>913</v>
      </c>
    </row>
    <row r="434">
      <c r="A434" s="38" t="s">
        <v>914</v>
      </c>
      <c r="B434" s="39" t="s">
        <v>915</v>
      </c>
    </row>
    <row r="435">
      <c r="A435" s="38" t="s">
        <v>916</v>
      </c>
      <c r="B435" s="39" t="s">
        <v>917</v>
      </c>
    </row>
    <row r="436">
      <c r="A436" s="38" t="s">
        <v>918</v>
      </c>
      <c r="B436" s="39" t="s">
        <v>919</v>
      </c>
    </row>
    <row r="437">
      <c r="A437" s="38" t="s">
        <v>920</v>
      </c>
      <c r="B437" s="39" t="s">
        <v>921</v>
      </c>
    </row>
    <row r="438">
      <c r="A438" s="38" t="s">
        <v>922</v>
      </c>
      <c r="B438" s="39" t="s">
        <v>923</v>
      </c>
    </row>
    <row r="439">
      <c r="A439" s="38" t="s">
        <v>924</v>
      </c>
      <c r="B439" s="39" t="s">
        <v>925</v>
      </c>
    </row>
    <row r="440">
      <c r="A440" s="38" t="s">
        <v>926</v>
      </c>
      <c r="B440" s="39" t="s">
        <v>927</v>
      </c>
    </row>
    <row r="441">
      <c r="A441" s="38" t="s">
        <v>928</v>
      </c>
      <c r="B441" s="39" t="s">
        <v>929</v>
      </c>
    </row>
    <row r="442">
      <c r="A442" s="38" t="s">
        <v>930</v>
      </c>
      <c r="B442" s="39" t="s">
        <v>931</v>
      </c>
    </row>
    <row r="443">
      <c r="A443" s="38" t="s">
        <v>932</v>
      </c>
      <c r="B443" s="39" t="s">
        <v>933</v>
      </c>
    </row>
    <row r="444">
      <c r="A444" s="38" t="s">
        <v>934</v>
      </c>
      <c r="B444" s="39" t="s">
        <v>935</v>
      </c>
    </row>
    <row r="445">
      <c r="A445" s="38" t="s">
        <v>936</v>
      </c>
      <c r="B445" s="39" t="s">
        <v>937</v>
      </c>
    </row>
    <row r="446">
      <c r="A446" s="38" t="s">
        <v>938</v>
      </c>
      <c r="B446" s="39" t="s">
        <v>939</v>
      </c>
    </row>
    <row r="447">
      <c r="A447" s="38" t="s">
        <v>940</v>
      </c>
      <c r="B447" s="39" t="s">
        <v>941</v>
      </c>
    </row>
    <row r="448">
      <c r="A448" s="38" t="s">
        <v>942</v>
      </c>
      <c r="B448" s="39" t="s">
        <v>943</v>
      </c>
    </row>
    <row r="449">
      <c r="A449" s="38" t="s">
        <v>944</v>
      </c>
      <c r="B449" s="39" t="s">
        <v>945</v>
      </c>
    </row>
    <row r="450">
      <c r="A450" s="38" t="s">
        <v>946</v>
      </c>
      <c r="B450" s="39" t="s">
        <v>947</v>
      </c>
    </row>
    <row r="451">
      <c r="A451" s="38" t="s">
        <v>948</v>
      </c>
      <c r="B451" s="39" t="s">
        <v>949</v>
      </c>
    </row>
    <row r="452">
      <c r="A452" s="38" t="s">
        <v>950</v>
      </c>
      <c r="B452" s="39" t="s">
        <v>951</v>
      </c>
    </row>
    <row r="453">
      <c r="A453" s="38" t="s">
        <v>952</v>
      </c>
      <c r="B453" s="44" t="s">
        <v>953</v>
      </c>
    </row>
    <row r="454">
      <c r="A454" s="38" t="s">
        <v>954</v>
      </c>
      <c r="B454" s="39" t="s">
        <v>955</v>
      </c>
    </row>
    <row r="455">
      <c r="A455" s="38" t="s">
        <v>956</v>
      </c>
      <c r="B455" s="39" t="s">
        <v>957</v>
      </c>
    </row>
    <row r="456">
      <c r="A456" s="38" t="s">
        <v>958</v>
      </c>
      <c r="B456" s="39" t="s">
        <v>959</v>
      </c>
    </row>
    <row r="457">
      <c r="A457" s="38" t="s">
        <v>960</v>
      </c>
      <c r="B457" s="39" t="s">
        <v>961</v>
      </c>
    </row>
    <row r="458">
      <c r="A458" s="38" t="s">
        <v>962</v>
      </c>
      <c r="B458" s="39" t="s">
        <v>963</v>
      </c>
    </row>
    <row r="459">
      <c r="A459" s="38" t="s">
        <v>32</v>
      </c>
      <c r="B459" s="39" t="s">
        <v>964</v>
      </c>
    </row>
    <row r="460">
      <c r="A460" s="38" t="s">
        <v>29</v>
      </c>
      <c r="B460" s="39" t="s">
        <v>30</v>
      </c>
    </row>
    <row r="461">
      <c r="A461" s="38" t="s">
        <v>965</v>
      </c>
      <c r="B461" s="39" t="s">
        <v>966</v>
      </c>
    </row>
    <row r="462">
      <c r="A462" s="38" t="s">
        <v>967</v>
      </c>
      <c r="B462" s="39" t="s">
        <v>968</v>
      </c>
    </row>
    <row r="463">
      <c r="A463" s="38" t="s">
        <v>969</v>
      </c>
      <c r="B463" s="39" t="s">
        <v>970</v>
      </c>
    </row>
    <row r="464">
      <c r="A464" s="40" t="s">
        <v>971</v>
      </c>
      <c r="B464" s="42" t="s">
        <v>972</v>
      </c>
    </row>
    <row r="465">
      <c r="A465" s="38" t="s">
        <v>973</v>
      </c>
      <c r="B465" s="39" t="s">
        <v>974</v>
      </c>
    </row>
    <row r="466">
      <c r="A466" s="38" t="s">
        <v>975</v>
      </c>
      <c r="B466" s="39" t="s">
        <v>976</v>
      </c>
    </row>
    <row r="467">
      <c r="A467" s="40" t="s">
        <v>977</v>
      </c>
      <c r="B467" s="41" t="s">
        <v>978</v>
      </c>
    </row>
    <row r="468">
      <c r="A468" s="38" t="s">
        <v>979</v>
      </c>
      <c r="B468" s="39" t="s">
        <v>980</v>
      </c>
    </row>
    <row r="469">
      <c r="A469" s="40" t="s">
        <v>981</v>
      </c>
      <c r="B469" s="41" t="s">
        <v>982</v>
      </c>
    </row>
    <row r="470">
      <c r="A470" s="38" t="s">
        <v>983</v>
      </c>
      <c r="B470" s="39" t="s">
        <v>984</v>
      </c>
    </row>
    <row r="471">
      <c r="A471" s="38" t="s">
        <v>985</v>
      </c>
      <c r="B471" s="39" t="s">
        <v>986</v>
      </c>
    </row>
    <row r="472">
      <c r="A472" s="38" t="s">
        <v>987</v>
      </c>
      <c r="B472" s="39" t="s">
        <v>988</v>
      </c>
    </row>
    <row r="473">
      <c r="A473" s="38" t="s">
        <v>989</v>
      </c>
      <c r="B473" s="39" t="s">
        <v>990</v>
      </c>
    </row>
    <row r="474">
      <c r="A474" s="38" t="s">
        <v>991</v>
      </c>
      <c r="B474" s="39" t="s">
        <v>992</v>
      </c>
    </row>
    <row r="475">
      <c r="A475" s="38" t="s">
        <v>993</v>
      </c>
      <c r="B475" s="39" t="s">
        <v>994</v>
      </c>
    </row>
    <row r="476">
      <c r="A476" s="38" t="s">
        <v>995</v>
      </c>
      <c r="B476" s="39" t="s">
        <v>996</v>
      </c>
    </row>
    <row r="477">
      <c r="A477" s="38" t="s">
        <v>997</v>
      </c>
      <c r="B477" s="39" t="s">
        <v>998</v>
      </c>
    </row>
    <row r="478">
      <c r="A478" s="38" t="s">
        <v>999</v>
      </c>
      <c r="B478" s="39" t="s">
        <v>1000</v>
      </c>
    </row>
    <row r="479">
      <c r="A479" s="38" t="s">
        <v>1001</v>
      </c>
      <c r="B479" s="39" t="s">
        <v>1002</v>
      </c>
    </row>
    <row r="480">
      <c r="A480" s="38" t="s">
        <v>1003</v>
      </c>
      <c r="B480" s="39" t="s">
        <v>1004</v>
      </c>
    </row>
    <row r="481">
      <c r="A481" s="38" t="s">
        <v>1005</v>
      </c>
      <c r="B481" s="39" t="s">
        <v>1006</v>
      </c>
    </row>
    <row r="482">
      <c r="A482" s="38" t="s">
        <v>1007</v>
      </c>
      <c r="B482" s="39" t="s">
        <v>1008</v>
      </c>
    </row>
    <row r="483">
      <c r="A483" s="38" t="s">
        <v>1009</v>
      </c>
      <c r="B483" s="39" t="s">
        <v>1010</v>
      </c>
    </row>
    <row r="484">
      <c r="A484" s="38" t="s">
        <v>1011</v>
      </c>
      <c r="B484" s="39" t="s">
        <v>1012</v>
      </c>
    </row>
    <row r="485">
      <c r="A485" s="38" t="s">
        <v>1013</v>
      </c>
      <c r="B485" s="39" t="s">
        <v>1014</v>
      </c>
    </row>
    <row r="486">
      <c r="A486" s="38" t="s">
        <v>1015</v>
      </c>
      <c r="B486" s="39" t="s">
        <v>1016</v>
      </c>
    </row>
    <row r="487">
      <c r="A487" s="38" t="s">
        <v>1017</v>
      </c>
      <c r="B487" s="39" t="s">
        <v>1018</v>
      </c>
    </row>
    <row r="488">
      <c r="A488" s="38" t="s">
        <v>1019</v>
      </c>
      <c r="B488" s="39" t="s">
        <v>1020</v>
      </c>
    </row>
    <row r="489">
      <c r="A489" s="38" t="s">
        <v>1021</v>
      </c>
      <c r="B489" s="39" t="s">
        <v>1022</v>
      </c>
    </row>
    <row r="490">
      <c r="A490" s="38" t="s">
        <v>1023</v>
      </c>
      <c r="B490" s="39" t="s">
        <v>1024</v>
      </c>
    </row>
    <row r="491">
      <c r="A491" s="38" t="s">
        <v>1025</v>
      </c>
      <c r="B491" s="39" t="s">
        <v>1026</v>
      </c>
    </row>
    <row r="492">
      <c r="A492" s="38" t="s">
        <v>1027</v>
      </c>
      <c r="B492" s="39" t="s">
        <v>1028</v>
      </c>
    </row>
    <row r="493">
      <c r="A493" s="38" t="s">
        <v>1029</v>
      </c>
      <c r="B493" s="39" t="s">
        <v>1030</v>
      </c>
    </row>
    <row r="494">
      <c r="A494" s="38" t="s">
        <v>1031</v>
      </c>
      <c r="B494" s="39" t="s">
        <v>1032</v>
      </c>
    </row>
    <row r="495">
      <c r="A495" s="38" t="s">
        <v>1033</v>
      </c>
      <c r="B495" s="39" t="s">
        <v>1034</v>
      </c>
    </row>
    <row r="496">
      <c r="A496" s="38" t="s">
        <v>1035</v>
      </c>
      <c r="B496" s="39" t="s">
        <v>1036</v>
      </c>
    </row>
    <row r="497">
      <c r="A497" s="38" t="s">
        <v>1037</v>
      </c>
      <c r="B497" s="39" t="s">
        <v>1038</v>
      </c>
    </row>
    <row r="498">
      <c r="A498" s="38" t="s">
        <v>1039</v>
      </c>
      <c r="B498" s="39" t="s">
        <v>1040</v>
      </c>
    </row>
    <row r="499">
      <c r="A499" s="38" t="s">
        <v>1041</v>
      </c>
      <c r="B499" s="39" t="s">
        <v>1042</v>
      </c>
    </row>
    <row r="500">
      <c r="A500" s="40" t="s">
        <v>1043</v>
      </c>
      <c r="B500" s="41" t="s">
        <v>1044</v>
      </c>
    </row>
    <row r="501">
      <c r="A501" s="38" t="s">
        <v>1045</v>
      </c>
      <c r="B501" s="39" t="s">
        <v>1046</v>
      </c>
    </row>
    <row r="502">
      <c r="A502" s="40" t="s">
        <v>1047</v>
      </c>
      <c r="B502" s="41" t="s">
        <v>1048</v>
      </c>
    </row>
    <row r="503">
      <c r="A503" s="38" t="s">
        <v>1049</v>
      </c>
      <c r="B503" s="39" t="s">
        <v>1050</v>
      </c>
    </row>
    <row r="504">
      <c r="A504" s="38" t="s">
        <v>1051</v>
      </c>
      <c r="B504" s="39" t="s">
        <v>1052</v>
      </c>
    </row>
    <row r="505">
      <c r="A505" s="38" t="s">
        <v>1053</v>
      </c>
      <c r="B505" s="39" t="s">
        <v>1054</v>
      </c>
    </row>
    <row r="506">
      <c r="A506" s="38" t="s">
        <v>1055</v>
      </c>
      <c r="B506" s="39" t="s">
        <v>1056</v>
      </c>
    </row>
    <row r="507">
      <c r="A507" s="38" t="s">
        <v>1057</v>
      </c>
      <c r="B507" s="39" t="s">
        <v>1058</v>
      </c>
    </row>
    <row r="508">
      <c r="A508" s="38" t="s">
        <v>1059</v>
      </c>
      <c r="B508" s="39" t="s">
        <v>1060</v>
      </c>
    </row>
    <row r="509">
      <c r="A509" s="38" t="s">
        <v>1061</v>
      </c>
      <c r="B509" s="39" t="s">
        <v>1062</v>
      </c>
    </row>
    <row r="510">
      <c r="A510" s="38" t="s">
        <v>1063</v>
      </c>
      <c r="B510" s="39" t="s">
        <v>1064</v>
      </c>
    </row>
    <row r="511">
      <c r="A511" s="38" t="s">
        <v>1065</v>
      </c>
      <c r="B511" s="39" t="s">
        <v>1066</v>
      </c>
    </row>
    <row r="512">
      <c r="A512" s="38" t="s">
        <v>1067</v>
      </c>
      <c r="B512" s="39" t="s">
        <v>1068</v>
      </c>
    </row>
    <row r="513">
      <c r="A513" s="38" t="s">
        <v>1069</v>
      </c>
      <c r="B513" s="39" t="s">
        <v>1070</v>
      </c>
    </row>
    <row r="514">
      <c r="A514" s="38" t="s">
        <v>1071</v>
      </c>
      <c r="B514" s="39" t="s">
        <v>1072</v>
      </c>
    </row>
    <row r="515">
      <c r="A515" s="38" t="s">
        <v>1073</v>
      </c>
      <c r="B515" s="39" t="s">
        <v>1074</v>
      </c>
    </row>
    <row r="516">
      <c r="A516" s="38" t="s">
        <v>1075</v>
      </c>
      <c r="B516" s="39" t="s">
        <v>1076</v>
      </c>
    </row>
    <row r="517">
      <c r="A517" s="38" t="s">
        <v>1077</v>
      </c>
      <c r="B517" s="39" t="s">
        <v>1078</v>
      </c>
    </row>
    <row r="518">
      <c r="A518" s="38" t="s">
        <v>1079</v>
      </c>
      <c r="B518" s="39" t="s">
        <v>1080</v>
      </c>
    </row>
    <row r="519">
      <c r="A519" s="38" t="s">
        <v>1081</v>
      </c>
      <c r="B519" s="39" t="s">
        <v>1082</v>
      </c>
    </row>
    <row r="520">
      <c r="A520" s="40" t="s">
        <v>1083</v>
      </c>
      <c r="B520" s="41" t="s">
        <v>1084</v>
      </c>
    </row>
    <row r="521">
      <c r="A521" s="38" t="s">
        <v>1085</v>
      </c>
      <c r="B521" s="39" t="s">
        <v>1086</v>
      </c>
    </row>
    <row r="522">
      <c r="A522" s="38" t="s">
        <v>1087</v>
      </c>
      <c r="B522" s="39" t="s">
        <v>1088</v>
      </c>
    </row>
    <row r="523">
      <c r="A523" s="38" t="s">
        <v>1089</v>
      </c>
      <c r="B523" s="39" t="s">
        <v>1090</v>
      </c>
    </row>
    <row r="524">
      <c r="A524" s="38" t="s">
        <v>1091</v>
      </c>
      <c r="B524" s="39" t="s">
        <v>1092</v>
      </c>
    </row>
    <row r="525">
      <c r="A525" s="38" t="s">
        <v>1093</v>
      </c>
      <c r="B525" s="39" t="s">
        <v>1094</v>
      </c>
    </row>
    <row r="526">
      <c r="A526" s="38" t="s">
        <v>1095</v>
      </c>
      <c r="B526" s="39" t="s">
        <v>1096</v>
      </c>
    </row>
    <row r="527">
      <c r="A527" s="38" t="s">
        <v>1097</v>
      </c>
      <c r="B527" s="39" t="s">
        <v>1098</v>
      </c>
    </row>
    <row r="528">
      <c r="A528" s="38" t="s">
        <v>1099</v>
      </c>
      <c r="B528" s="39" t="s">
        <v>1100</v>
      </c>
    </row>
    <row r="529">
      <c r="A529" s="38" t="s">
        <v>1101</v>
      </c>
      <c r="B529" s="39" t="s">
        <v>1102</v>
      </c>
    </row>
    <row r="530">
      <c r="A530" s="38" t="s">
        <v>1103</v>
      </c>
      <c r="B530" s="39" t="s">
        <v>1104</v>
      </c>
    </row>
    <row r="531">
      <c r="A531" s="38" t="s">
        <v>1105</v>
      </c>
      <c r="B531" s="39" t="s">
        <v>1106</v>
      </c>
    </row>
    <row r="532">
      <c r="A532" s="38" t="s">
        <v>1107</v>
      </c>
      <c r="B532" s="39" t="s">
        <v>1108</v>
      </c>
    </row>
    <row r="533">
      <c r="A533" s="38" t="s">
        <v>1109</v>
      </c>
      <c r="B533" s="39" t="s">
        <v>1110</v>
      </c>
    </row>
    <row r="534">
      <c r="A534" s="38" t="s">
        <v>1111</v>
      </c>
      <c r="B534" s="39" t="s">
        <v>1112</v>
      </c>
    </row>
    <row r="535">
      <c r="A535" s="38" t="s">
        <v>1113</v>
      </c>
      <c r="B535" s="39" t="s">
        <v>1114</v>
      </c>
    </row>
    <row r="536">
      <c r="A536" s="38" t="s">
        <v>1115</v>
      </c>
      <c r="B536" s="39" t="s">
        <v>1116</v>
      </c>
    </row>
    <row r="537">
      <c r="A537" s="38" t="s">
        <v>1117</v>
      </c>
      <c r="B537" s="39" t="s">
        <v>1118</v>
      </c>
    </row>
    <row r="538">
      <c r="A538" s="38" t="s">
        <v>1119</v>
      </c>
      <c r="B538" s="39" t="s">
        <v>1120</v>
      </c>
    </row>
    <row r="539">
      <c r="A539" s="38" t="s">
        <v>1121</v>
      </c>
      <c r="B539" s="39" t="s">
        <v>1122</v>
      </c>
    </row>
    <row r="540">
      <c r="A540" s="38" t="s">
        <v>1123</v>
      </c>
      <c r="B540" s="39" t="s">
        <v>1124</v>
      </c>
    </row>
    <row r="541">
      <c r="A541" s="38" t="s">
        <v>1125</v>
      </c>
      <c r="B541" s="39" t="s">
        <v>1126</v>
      </c>
    </row>
    <row r="542">
      <c r="A542" s="38" t="s">
        <v>1127</v>
      </c>
      <c r="B542" s="39" t="s">
        <v>1128</v>
      </c>
    </row>
    <row r="543">
      <c r="A543" s="38" t="s">
        <v>1129</v>
      </c>
      <c r="B543" s="39" t="s">
        <v>1130</v>
      </c>
    </row>
    <row r="544">
      <c r="A544" s="38" t="s">
        <v>1131</v>
      </c>
      <c r="B544" s="39" t="s">
        <v>1132</v>
      </c>
    </row>
    <row r="545">
      <c r="A545" s="38" t="s">
        <v>1133</v>
      </c>
      <c r="B545" s="39" t="s">
        <v>1134</v>
      </c>
    </row>
    <row r="546">
      <c r="A546" s="38" t="s">
        <v>1135</v>
      </c>
      <c r="B546" s="39" t="s">
        <v>1136</v>
      </c>
    </row>
    <row r="547">
      <c r="A547" s="38" t="s">
        <v>1137</v>
      </c>
      <c r="B547" s="39" t="s">
        <v>1138</v>
      </c>
    </row>
    <row r="548">
      <c r="A548" s="38" t="s">
        <v>1139</v>
      </c>
      <c r="B548" s="39" t="s">
        <v>1140</v>
      </c>
    </row>
    <row r="549">
      <c r="A549" s="40" t="s">
        <v>1141</v>
      </c>
      <c r="B549" s="41" t="s">
        <v>1142</v>
      </c>
    </row>
    <row r="550">
      <c r="A550" s="38" t="s">
        <v>1143</v>
      </c>
      <c r="B550" s="39" t="s">
        <v>1144</v>
      </c>
    </row>
    <row r="551">
      <c r="A551" s="40" t="s">
        <v>1145</v>
      </c>
      <c r="B551" s="41" t="s">
        <v>1146</v>
      </c>
    </row>
    <row r="552">
      <c r="A552" s="38" t="s">
        <v>1147</v>
      </c>
      <c r="B552" s="39" t="s">
        <v>1148</v>
      </c>
    </row>
    <row r="553">
      <c r="A553" s="38" t="s">
        <v>1149</v>
      </c>
      <c r="B553" s="39" t="s">
        <v>1150</v>
      </c>
    </row>
    <row r="554">
      <c r="A554" s="38" t="s">
        <v>1151</v>
      </c>
      <c r="B554" s="39" t="s">
        <v>1152</v>
      </c>
    </row>
    <row r="555">
      <c r="A555" s="38" t="s">
        <v>1153</v>
      </c>
      <c r="B555" s="39" t="s">
        <v>1154</v>
      </c>
    </row>
    <row r="556">
      <c r="A556" s="38" t="s">
        <v>1155</v>
      </c>
      <c r="B556" s="39" t="s">
        <v>1156</v>
      </c>
    </row>
    <row r="557">
      <c r="A557" s="38" t="s">
        <v>1157</v>
      </c>
      <c r="B557" s="39" t="s">
        <v>1158</v>
      </c>
    </row>
    <row r="558">
      <c r="A558" s="38" t="s">
        <v>1159</v>
      </c>
      <c r="B558" s="39" t="s">
        <v>1160</v>
      </c>
    </row>
    <row r="559">
      <c r="A559" s="38" t="s">
        <v>1161</v>
      </c>
      <c r="B559" s="39" t="s">
        <v>1162</v>
      </c>
    </row>
    <row r="560">
      <c r="A560" s="38" t="s">
        <v>1163</v>
      </c>
      <c r="B560" s="39" t="s">
        <v>1164</v>
      </c>
    </row>
    <row r="561">
      <c r="A561" s="38" t="s">
        <v>1165</v>
      </c>
      <c r="B561" s="39" t="s">
        <v>1166</v>
      </c>
    </row>
    <row r="562">
      <c r="A562" s="38" t="s">
        <v>1167</v>
      </c>
      <c r="B562" s="39" t="s">
        <v>1168</v>
      </c>
    </row>
    <row r="563">
      <c r="A563" s="38" t="s">
        <v>1169</v>
      </c>
      <c r="B563" s="39" t="s">
        <v>1170</v>
      </c>
    </row>
    <row r="564">
      <c r="A564" s="38" t="s">
        <v>1171</v>
      </c>
      <c r="B564" s="39" t="s">
        <v>1172</v>
      </c>
    </row>
    <row r="565">
      <c r="A565" s="38" t="s">
        <v>1173</v>
      </c>
      <c r="B565" s="39" t="s">
        <v>1174</v>
      </c>
    </row>
    <row r="566">
      <c r="A566" s="38" t="s">
        <v>1175</v>
      </c>
      <c r="B566" s="39" t="s">
        <v>1176</v>
      </c>
    </row>
    <row r="567">
      <c r="A567" s="38" t="s">
        <v>1177</v>
      </c>
      <c r="B567" s="39" t="s">
        <v>1178</v>
      </c>
    </row>
    <row r="568">
      <c r="A568" s="40" t="s">
        <v>1179</v>
      </c>
      <c r="B568" s="41" t="s">
        <v>1180</v>
      </c>
    </row>
    <row r="569">
      <c r="A569" s="38" t="s">
        <v>1181</v>
      </c>
      <c r="B569" s="39" t="s">
        <v>1182</v>
      </c>
    </row>
    <row r="570">
      <c r="A570" s="38" t="s">
        <v>1183</v>
      </c>
      <c r="B570" s="39" t="s">
        <v>1184</v>
      </c>
    </row>
    <row r="571">
      <c r="A571" s="38" t="s">
        <v>1185</v>
      </c>
      <c r="B571" s="39" t="s">
        <v>1186</v>
      </c>
    </row>
    <row r="572">
      <c r="A572" s="38" t="s">
        <v>1187</v>
      </c>
      <c r="B572" s="39" t="s">
        <v>1188</v>
      </c>
    </row>
    <row r="573">
      <c r="A573" s="47" t="s">
        <v>1189</v>
      </c>
      <c r="B573" s="39" t="s">
        <v>1190</v>
      </c>
    </row>
    <row r="574">
      <c r="A574" s="38" t="s">
        <v>1191</v>
      </c>
      <c r="B574" s="39" t="s">
        <v>1192</v>
      </c>
    </row>
    <row r="575">
      <c r="A575" s="38" t="s">
        <v>1193</v>
      </c>
      <c r="B575" s="39" t="s">
        <v>1194</v>
      </c>
    </row>
    <row r="576">
      <c r="A576" s="38" t="s">
        <v>1195</v>
      </c>
      <c r="B576" s="39" t="s">
        <v>1196</v>
      </c>
    </row>
    <row r="577">
      <c r="A577" s="38" t="s">
        <v>1197</v>
      </c>
      <c r="B577" s="39" t="s">
        <v>1198</v>
      </c>
    </row>
    <row r="578">
      <c r="A578" s="38" t="s">
        <v>1199</v>
      </c>
      <c r="B578" s="39" t="s">
        <v>1200</v>
      </c>
    </row>
    <row r="579">
      <c r="A579" s="38" t="s">
        <v>1201</v>
      </c>
      <c r="B579" s="39" t="s">
        <v>1202</v>
      </c>
    </row>
    <row r="580">
      <c r="A580" s="38" t="s">
        <v>1203</v>
      </c>
      <c r="B580" s="39" t="s">
        <v>1204</v>
      </c>
    </row>
    <row r="581">
      <c r="A581" s="38" t="s">
        <v>1205</v>
      </c>
      <c r="B581" s="39" t="s">
        <v>1206</v>
      </c>
    </row>
    <row r="582">
      <c r="A582" s="38" t="s">
        <v>1207</v>
      </c>
      <c r="B582" s="39" t="s">
        <v>1208</v>
      </c>
    </row>
    <row r="583">
      <c r="A583" s="38" t="s">
        <v>1209</v>
      </c>
      <c r="B583" s="39" t="s">
        <v>1210</v>
      </c>
    </row>
    <row r="584">
      <c r="A584" s="38" t="s">
        <v>1211</v>
      </c>
      <c r="B584" s="39" t="s">
        <v>1212</v>
      </c>
    </row>
    <row r="585">
      <c r="A585" s="38" t="s">
        <v>1213</v>
      </c>
      <c r="B585" s="39" t="s">
        <v>1214</v>
      </c>
    </row>
    <row r="586">
      <c r="A586" s="38" t="s">
        <v>1215</v>
      </c>
      <c r="B586" s="39" t="s">
        <v>1216</v>
      </c>
    </row>
    <row r="587">
      <c r="A587" s="38" t="s">
        <v>1217</v>
      </c>
      <c r="B587" s="39" t="s">
        <v>1218</v>
      </c>
    </row>
    <row r="588">
      <c r="A588" s="38" t="s">
        <v>1219</v>
      </c>
      <c r="B588" s="39" t="s">
        <v>1220</v>
      </c>
    </row>
    <row r="589">
      <c r="A589" s="38" t="s">
        <v>1221</v>
      </c>
      <c r="B589" s="39" t="s">
        <v>1222</v>
      </c>
    </row>
    <row r="590">
      <c r="A590" s="38" t="s">
        <v>1223</v>
      </c>
      <c r="B590" s="39" t="s">
        <v>1224</v>
      </c>
    </row>
    <row r="591">
      <c r="A591" s="38" t="s">
        <v>1225</v>
      </c>
      <c r="B591" s="39" t="s">
        <v>1226</v>
      </c>
    </row>
    <row r="592">
      <c r="A592" s="38" t="s">
        <v>1227</v>
      </c>
      <c r="B592" s="39" t="s">
        <v>1228</v>
      </c>
    </row>
    <row r="593">
      <c r="A593" s="38" t="s">
        <v>1229</v>
      </c>
      <c r="B593" s="39" t="s">
        <v>1230</v>
      </c>
    </row>
    <row r="594">
      <c r="A594" s="38" t="s">
        <v>1231</v>
      </c>
      <c r="B594" s="39" t="s">
        <v>1232</v>
      </c>
    </row>
    <row r="595">
      <c r="A595" s="38" t="s">
        <v>1233</v>
      </c>
      <c r="B595" s="39" t="s">
        <v>1234</v>
      </c>
    </row>
    <row r="596">
      <c r="A596" s="38" t="s">
        <v>1235</v>
      </c>
      <c r="B596" s="39" t="s">
        <v>1236</v>
      </c>
    </row>
    <row r="597">
      <c r="A597" s="38" t="s">
        <v>1237</v>
      </c>
      <c r="B597" s="39" t="s">
        <v>1238</v>
      </c>
    </row>
    <row r="598">
      <c r="A598" s="38" t="s">
        <v>1239</v>
      </c>
      <c r="B598" s="39" t="s">
        <v>1240</v>
      </c>
    </row>
    <row r="599">
      <c r="A599" s="38" t="s">
        <v>1241</v>
      </c>
      <c r="B599" s="39" t="s">
        <v>1242</v>
      </c>
    </row>
    <row r="600">
      <c r="A600" s="38" t="s">
        <v>1243</v>
      </c>
      <c r="B600" s="39" t="s">
        <v>1244</v>
      </c>
    </row>
    <row r="601">
      <c r="A601" s="38" t="s">
        <v>1245</v>
      </c>
      <c r="B601" s="39" t="s">
        <v>1246</v>
      </c>
    </row>
    <row r="602">
      <c r="A602" s="40" t="s">
        <v>1247</v>
      </c>
      <c r="B602" s="41" t="s">
        <v>1248</v>
      </c>
    </row>
    <row r="603">
      <c r="A603" s="38" t="s">
        <v>1249</v>
      </c>
      <c r="B603" s="44" t="s">
        <v>1250</v>
      </c>
    </row>
    <row r="604">
      <c r="A604" s="38" t="s">
        <v>1251</v>
      </c>
      <c r="B604" s="39" t="s">
        <v>1252</v>
      </c>
    </row>
    <row r="605">
      <c r="A605" s="38" t="s">
        <v>1253</v>
      </c>
      <c r="B605" s="39" t="s">
        <v>1254</v>
      </c>
    </row>
    <row r="606">
      <c r="A606" s="38" t="s">
        <v>1255</v>
      </c>
      <c r="B606" s="39" t="s">
        <v>1256</v>
      </c>
    </row>
    <row r="607">
      <c r="A607" s="38" t="s">
        <v>1257</v>
      </c>
      <c r="B607" s="39" t="s">
        <v>1258</v>
      </c>
    </row>
    <row r="608">
      <c r="A608" s="38" t="s">
        <v>1259</v>
      </c>
      <c r="B608" s="39" t="s">
        <v>1260</v>
      </c>
    </row>
    <row r="609">
      <c r="A609" s="38" t="s">
        <v>1261</v>
      </c>
      <c r="B609" s="39" t="s">
        <v>1262</v>
      </c>
    </row>
    <row r="610">
      <c r="A610" s="38" t="s">
        <v>1263</v>
      </c>
      <c r="B610" s="39" t="s">
        <v>1264</v>
      </c>
    </row>
    <row r="611">
      <c r="A611" s="38" t="s">
        <v>1265</v>
      </c>
      <c r="B611" s="39" t="s">
        <v>1266</v>
      </c>
    </row>
    <row r="612">
      <c r="A612" s="38" t="s">
        <v>1267</v>
      </c>
      <c r="B612" s="39" t="s">
        <v>1268</v>
      </c>
    </row>
    <row r="613">
      <c r="A613" s="38" t="s">
        <v>1269</v>
      </c>
      <c r="B613" s="39" t="s">
        <v>1270</v>
      </c>
    </row>
    <row r="614">
      <c r="A614" s="38" t="s">
        <v>1271</v>
      </c>
      <c r="B614" s="39" t="s">
        <v>1272</v>
      </c>
    </row>
    <row r="615">
      <c r="A615" s="38" t="s">
        <v>1273</v>
      </c>
      <c r="B615" s="43" t="s">
        <v>1274</v>
      </c>
    </row>
    <row r="616">
      <c r="A616" s="38" t="s">
        <v>1275</v>
      </c>
      <c r="B616" s="39" t="s">
        <v>1276</v>
      </c>
    </row>
    <row r="617">
      <c r="A617" s="38" t="s">
        <v>1277</v>
      </c>
      <c r="B617" s="44" t="s">
        <v>1278</v>
      </c>
    </row>
    <row r="618">
      <c r="A618" s="38" t="s">
        <v>1279</v>
      </c>
      <c r="B618" s="39" t="s">
        <v>1280</v>
      </c>
    </row>
    <row r="619">
      <c r="A619" s="38" t="s">
        <v>1281</v>
      </c>
      <c r="B619" s="39" t="s">
        <v>1282</v>
      </c>
    </row>
    <row r="620">
      <c r="A620" s="38" t="s">
        <v>1283</v>
      </c>
      <c r="B620" s="39" t="s">
        <v>1284</v>
      </c>
    </row>
    <row r="621">
      <c r="A621" s="38" t="s">
        <v>1285</v>
      </c>
      <c r="B621" s="39" t="s">
        <v>1286</v>
      </c>
    </row>
    <row r="622">
      <c r="A622" s="38" t="s">
        <v>1287</v>
      </c>
      <c r="B622" s="39" t="s">
        <v>1288</v>
      </c>
    </row>
    <row r="623">
      <c r="A623" s="38" t="s">
        <v>1289</v>
      </c>
      <c r="B623" s="39" t="s">
        <v>1290</v>
      </c>
    </row>
    <row r="624">
      <c r="A624" s="38" t="s">
        <v>1291</v>
      </c>
      <c r="B624" s="39" t="s">
        <v>1292</v>
      </c>
    </row>
    <row r="625">
      <c r="A625" s="38" t="s">
        <v>1293</v>
      </c>
      <c r="B625" s="39" t="s">
        <v>1294</v>
      </c>
    </row>
    <row r="626">
      <c r="A626" s="38" t="s">
        <v>1295</v>
      </c>
      <c r="B626" s="39" t="s">
        <v>1296</v>
      </c>
    </row>
    <row r="627">
      <c r="A627" s="38" t="s">
        <v>1297</v>
      </c>
      <c r="B627" s="39" t="s">
        <v>1298</v>
      </c>
    </row>
    <row r="628">
      <c r="A628" s="38" t="s">
        <v>1299</v>
      </c>
      <c r="B628" s="39" t="s">
        <v>1300</v>
      </c>
    </row>
    <row r="629">
      <c r="A629" s="38" t="s">
        <v>1301</v>
      </c>
      <c r="B629" s="39" t="s">
        <v>1302</v>
      </c>
    </row>
    <row r="630">
      <c r="A630" s="38" t="s">
        <v>1303</v>
      </c>
      <c r="B630" s="39" t="s">
        <v>1304</v>
      </c>
    </row>
    <row r="631">
      <c r="A631" s="38" t="s">
        <v>1305</v>
      </c>
      <c r="B631" s="39" t="s">
        <v>1306</v>
      </c>
    </row>
    <row r="632">
      <c r="A632" s="38" t="s">
        <v>1307</v>
      </c>
      <c r="B632" s="39" t="s">
        <v>1308</v>
      </c>
    </row>
    <row r="633">
      <c r="A633" s="38" t="s">
        <v>1309</v>
      </c>
      <c r="B633" s="39" t="s">
        <v>1310</v>
      </c>
    </row>
    <row r="634">
      <c r="A634" s="38" t="s">
        <v>1311</v>
      </c>
      <c r="B634" s="39" t="s">
        <v>1312</v>
      </c>
    </row>
    <row r="635">
      <c r="A635" s="38" t="s">
        <v>1313</v>
      </c>
      <c r="B635" s="39" t="s">
        <v>1314</v>
      </c>
    </row>
    <row r="636">
      <c r="A636" s="38" t="s">
        <v>1315</v>
      </c>
      <c r="B636" s="39" t="s">
        <v>1316</v>
      </c>
    </row>
    <row r="637">
      <c r="A637" s="38" t="s">
        <v>1317</v>
      </c>
      <c r="B637" s="39" t="s">
        <v>1318</v>
      </c>
    </row>
    <row r="638">
      <c r="A638" s="38" t="s">
        <v>1319</v>
      </c>
      <c r="B638" s="39" t="s">
        <v>1320</v>
      </c>
    </row>
    <row r="639">
      <c r="A639" s="38" t="s">
        <v>1321</v>
      </c>
      <c r="B639" s="39" t="s">
        <v>1322</v>
      </c>
    </row>
    <row r="640">
      <c r="A640" s="38" t="s">
        <v>1323</v>
      </c>
      <c r="B640" s="39" t="s">
        <v>1324</v>
      </c>
    </row>
    <row r="641">
      <c r="A641" s="38" t="s">
        <v>1325</v>
      </c>
      <c r="B641" s="39" t="s">
        <v>1326</v>
      </c>
    </row>
    <row r="642">
      <c r="A642" s="40" t="s">
        <v>1327</v>
      </c>
      <c r="B642" s="41" t="s">
        <v>1328</v>
      </c>
    </row>
    <row r="643">
      <c r="A643" s="38" t="s">
        <v>1329</v>
      </c>
      <c r="B643" s="39" t="s">
        <v>1330</v>
      </c>
    </row>
    <row r="644">
      <c r="A644" s="38" t="s">
        <v>1331</v>
      </c>
      <c r="B644" s="39" t="s">
        <v>1332</v>
      </c>
    </row>
    <row r="645">
      <c r="A645" s="38" t="s">
        <v>1333</v>
      </c>
      <c r="B645" s="39" t="s">
        <v>1334</v>
      </c>
    </row>
    <row r="646">
      <c r="A646" s="38" t="s">
        <v>1335</v>
      </c>
      <c r="B646" s="39" t="s">
        <v>1336</v>
      </c>
    </row>
    <row r="647">
      <c r="A647" s="38" t="s">
        <v>1337</v>
      </c>
      <c r="B647" s="39" t="s">
        <v>1338</v>
      </c>
    </row>
    <row r="648">
      <c r="A648" s="38" t="s">
        <v>1339</v>
      </c>
      <c r="B648" s="39" t="s">
        <v>1340</v>
      </c>
    </row>
    <row r="649">
      <c r="A649" s="38" t="s">
        <v>1341</v>
      </c>
      <c r="B649" s="39" t="s">
        <v>1342</v>
      </c>
    </row>
    <row r="650">
      <c r="A650" s="38" t="s">
        <v>1343</v>
      </c>
      <c r="B650" s="39" t="s">
        <v>1344</v>
      </c>
    </row>
    <row r="651">
      <c r="A651" s="38" t="s">
        <v>1345</v>
      </c>
      <c r="B651" s="39" t="s">
        <v>1346</v>
      </c>
    </row>
    <row r="652">
      <c r="A652" s="38" t="s">
        <v>1347</v>
      </c>
      <c r="B652" s="39" t="s">
        <v>1348</v>
      </c>
    </row>
    <row r="653">
      <c r="A653" s="38" t="s">
        <v>1349</v>
      </c>
      <c r="B653" s="39" t="s">
        <v>1350</v>
      </c>
    </row>
    <row r="654">
      <c r="A654" s="38" t="s">
        <v>1351</v>
      </c>
      <c r="B654" s="39" t="s">
        <v>1352</v>
      </c>
    </row>
    <row r="655">
      <c r="A655" s="38" t="s">
        <v>1353</v>
      </c>
      <c r="B655" s="39" t="s">
        <v>1354</v>
      </c>
    </row>
    <row r="656">
      <c r="A656" s="38" t="s">
        <v>1355</v>
      </c>
      <c r="B656" s="39" t="s">
        <v>1356</v>
      </c>
    </row>
    <row r="657">
      <c r="A657" s="38" t="s">
        <v>1357</v>
      </c>
      <c r="B657" s="39" t="s">
        <v>1358</v>
      </c>
    </row>
    <row r="658">
      <c r="A658" s="38" t="s">
        <v>1359</v>
      </c>
      <c r="B658" s="39" t="s">
        <v>1360</v>
      </c>
    </row>
    <row r="659">
      <c r="A659" s="38" t="s">
        <v>1361</v>
      </c>
      <c r="B659" s="39" t="s">
        <v>1362</v>
      </c>
    </row>
    <row r="660">
      <c r="A660" s="38" t="s">
        <v>1363</v>
      </c>
      <c r="B660" s="39" t="s">
        <v>1364</v>
      </c>
    </row>
    <row r="661">
      <c r="A661" s="38" t="s">
        <v>1365</v>
      </c>
      <c r="B661" s="39" t="s">
        <v>1366</v>
      </c>
    </row>
    <row r="662">
      <c r="A662" s="38" t="s">
        <v>1367</v>
      </c>
      <c r="B662" s="39" t="s">
        <v>1368</v>
      </c>
    </row>
    <row r="663">
      <c r="A663" s="40" t="s">
        <v>1369</v>
      </c>
      <c r="B663" s="41" t="s">
        <v>1370</v>
      </c>
    </row>
    <row r="664">
      <c r="A664" s="40" t="s">
        <v>1371</v>
      </c>
      <c r="B664" s="41" t="s">
        <v>1372</v>
      </c>
    </row>
    <row r="665">
      <c r="A665" s="38" t="s">
        <v>1373</v>
      </c>
      <c r="B665" s="39" t="s">
        <v>1374</v>
      </c>
    </row>
    <row r="666">
      <c r="A666" s="38" t="s">
        <v>1375</v>
      </c>
      <c r="B666" s="39" t="s">
        <v>1376</v>
      </c>
    </row>
    <row r="667">
      <c r="A667" s="38" t="s">
        <v>1377</v>
      </c>
      <c r="B667" s="39" t="s">
        <v>1378</v>
      </c>
    </row>
    <row r="668">
      <c r="A668" s="38" t="s">
        <v>1379</v>
      </c>
      <c r="B668" s="39" t="s">
        <v>1380</v>
      </c>
    </row>
    <row r="669">
      <c r="A669" s="40" t="s">
        <v>1381</v>
      </c>
      <c r="B669" s="41" t="s">
        <v>1382</v>
      </c>
    </row>
    <row r="670">
      <c r="A670" s="38" t="s">
        <v>1383</v>
      </c>
      <c r="B670" s="39" t="s">
        <v>1384</v>
      </c>
    </row>
    <row r="671">
      <c r="A671" s="38" t="s">
        <v>1385</v>
      </c>
      <c r="B671" s="39" t="s">
        <v>1386</v>
      </c>
    </row>
    <row r="672">
      <c r="A672" s="38" t="s">
        <v>1387</v>
      </c>
      <c r="B672" s="39" t="s">
        <v>1388</v>
      </c>
    </row>
    <row r="673">
      <c r="A673" s="38" t="s">
        <v>1389</v>
      </c>
      <c r="B673" s="39" t="s">
        <v>1390</v>
      </c>
    </row>
    <row r="674">
      <c r="A674" s="38" t="s">
        <v>1391</v>
      </c>
      <c r="B674" s="39" t="s">
        <v>1392</v>
      </c>
    </row>
    <row r="675">
      <c r="A675" s="38" t="s">
        <v>1393</v>
      </c>
      <c r="B675" s="39" t="s">
        <v>1394</v>
      </c>
    </row>
    <row r="676">
      <c r="A676" s="38" t="s">
        <v>1395</v>
      </c>
      <c r="B676" s="39" t="s">
        <v>1396</v>
      </c>
    </row>
    <row r="677">
      <c r="A677" s="38" t="s">
        <v>1397</v>
      </c>
      <c r="B677" s="39" t="s">
        <v>1398</v>
      </c>
    </row>
    <row r="678">
      <c r="A678" s="38" t="s">
        <v>1399</v>
      </c>
      <c r="B678" s="43" t="s">
        <v>1400</v>
      </c>
    </row>
    <row r="679">
      <c r="A679" s="38" t="s">
        <v>1401</v>
      </c>
      <c r="B679" s="39" t="s">
        <v>1402</v>
      </c>
    </row>
    <row r="680">
      <c r="A680" s="38" t="s">
        <v>1403</v>
      </c>
      <c r="B680" s="39" t="s">
        <v>1404</v>
      </c>
    </row>
    <row r="681">
      <c r="A681" s="38" t="s">
        <v>1405</v>
      </c>
      <c r="B681" s="39" t="s">
        <v>1406</v>
      </c>
    </row>
    <row r="682">
      <c r="A682" s="40" t="s">
        <v>1407</v>
      </c>
      <c r="B682" s="41" t="s">
        <v>1408</v>
      </c>
    </row>
    <row r="683">
      <c r="A683" s="38" t="s">
        <v>1409</v>
      </c>
      <c r="B683" s="39" t="s">
        <v>1410</v>
      </c>
    </row>
    <row r="684">
      <c r="A684" s="38" t="s">
        <v>1411</v>
      </c>
      <c r="B684" s="39" t="s">
        <v>1412</v>
      </c>
    </row>
    <row r="685">
      <c r="A685" s="38" t="s">
        <v>1413</v>
      </c>
      <c r="B685" s="39" t="s">
        <v>1414</v>
      </c>
    </row>
    <row r="686">
      <c r="A686" s="38" t="s">
        <v>1415</v>
      </c>
      <c r="B686" s="39" t="s">
        <v>1416</v>
      </c>
    </row>
    <row r="687">
      <c r="A687" s="38" t="s">
        <v>1417</v>
      </c>
      <c r="B687" s="39" t="s">
        <v>1418</v>
      </c>
    </row>
    <row r="688">
      <c r="A688" s="38" t="s">
        <v>1419</v>
      </c>
      <c r="B688" s="39" t="s">
        <v>1420</v>
      </c>
    </row>
    <row r="689">
      <c r="A689" s="38" t="s">
        <v>1421</v>
      </c>
      <c r="B689" s="39" t="s">
        <v>1422</v>
      </c>
    </row>
    <row r="690">
      <c r="A690" s="38" t="s">
        <v>1423</v>
      </c>
      <c r="B690" s="39" t="s">
        <v>1424</v>
      </c>
    </row>
    <row r="691">
      <c r="A691" s="38" t="s">
        <v>1425</v>
      </c>
      <c r="B691" s="39" t="s">
        <v>1426</v>
      </c>
    </row>
    <row r="692">
      <c r="A692" s="38" t="s">
        <v>1427</v>
      </c>
      <c r="B692" s="39" t="s">
        <v>1428</v>
      </c>
    </row>
    <row r="693">
      <c r="A693" s="38" t="s">
        <v>1429</v>
      </c>
      <c r="B693" s="39" t="s">
        <v>1430</v>
      </c>
    </row>
    <row r="694">
      <c r="A694" s="38" t="s">
        <v>1431</v>
      </c>
      <c r="B694" s="39" t="s">
        <v>1432</v>
      </c>
    </row>
    <row r="695">
      <c r="A695" s="38" t="s">
        <v>1433</v>
      </c>
      <c r="B695" s="39" t="s">
        <v>1434</v>
      </c>
    </row>
    <row r="696">
      <c r="A696" s="38" t="s">
        <v>1435</v>
      </c>
      <c r="B696" s="39" t="s">
        <v>1436</v>
      </c>
    </row>
    <row r="697">
      <c r="A697" s="38" t="s">
        <v>1437</v>
      </c>
      <c r="B697" s="39" t="s">
        <v>1438</v>
      </c>
    </row>
    <row r="698">
      <c r="A698" s="47" t="s">
        <v>1439</v>
      </c>
      <c r="B698" s="39" t="s">
        <v>1440</v>
      </c>
    </row>
    <row r="699">
      <c r="A699" s="38" t="s">
        <v>1441</v>
      </c>
      <c r="B699" s="39" t="s">
        <v>1442</v>
      </c>
    </row>
    <row r="700">
      <c r="A700" s="38" t="s">
        <v>1443</v>
      </c>
      <c r="B700" s="39" t="s">
        <v>1444</v>
      </c>
    </row>
    <row r="701">
      <c r="A701" s="38" t="s">
        <v>1445</v>
      </c>
      <c r="B701" s="39" t="s">
        <v>1446</v>
      </c>
    </row>
    <row r="702">
      <c r="A702" s="38" t="s">
        <v>1447</v>
      </c>
      <c r="B702" s="39" t="s">
        <v>1448</v>
      </c>
    </row>
    <row r="703">
      <c r="A703" s="38" t="s">
        <v>1449</v>
      </c>
      <c r="B703" s="39" t="s">
        <v>1450</v>
      </c>
    </row>
    <row r="704">
      <c r="A704" s="38" t="s">
        <v>1451</v>
      </c>
      <c r="B704" s="39" t="s">
        <v>1452</v>
      </c>
    </row>
    <row r="705">
      <c r="A705" s="38" t="s">
        <v>1453</v>
      </c>
      <c r="B705" s="39" t="s">
        <v>1454</v>
      </c>
    </row>
    <row r="706">
      <c r="A706" s="38" t="s">
        <v>1455</v>
      </c>
      <c r="B706" s="39" t="s">
        <v>1456</v>
      </c>
    </row>
    <row r="707">
      <c r="A707" s="38" t="s">
        <v>1457</v>
      </c>
      <c r="B707" s="39" t="s">
        <v>1458</v>
      </c>
    </row>
    <row r="708">
      <c r="A708" s="38" t="s">
        <v>1459</v>
      </c>
      <c r="B708" s="39" t="s">
        <v>1460</v>
      </c>
    </row>
    <row r="709">
      <c r="A709" s="38" t="s">
        <v>1461</v>
      </c>
      <c r="B709" s="39" t="s">
        <v>1462</v>
      </c>
    </row>
    <row r="710">
      <c r="A710" s="38" t="s">
        <v>1463</v>
      </c>
      <c r="B710" s="39" t="s">
        <v>1464</v>
      </c>
    </row>
    <row r="711">
      <c r="A711" s="38" t="s">
        <v>1465</v>
      </c>
      <c r="B711" s="39" t="s">
        <v>1466</v>
      </c>
    </row>
    <row r="712">
      <c r="A712" s="38" t="s">
        <v>1467</v>
      </c>
      <c r="B712" s="39" t="s">
        <v>1468</v>
      </c>
    </row>
    <row r="713">
      <c r="A713" s="38" t="s">
        <v>1469</v>
      </c>
      <c r="B713" s="39" t="s">
        <v>1470</v>
      </c>
    </row>
    <row r="714">
      <c r="A714" s="38" t="s">
        <v>1471</v>
      </c>
      <c r="B714" s="39" t="s">
        <v>1472</v>
      </c>
    </row>
    <row r="715">
      <c r="A715" s="40" t="s">
        <v>1473</v>
      </c>
      <c r="B715" s="41" t="s">
        <v>1474</v>
      </c>
    </row>
    <row r="716">
      <c r="A716" s="38" t="s">
        <v>1475</v>
      </c>
      <c r="B716" s="39" t="s">
        <v>1476</v>
      </c>
    </row>
    <row r="717">
      <c r="A717" s="47" t="s">
        <v>1477</v>
      </c>
      <c r="B717" s="39" t="s">
        <v>1478</v>
      </c>
    </row>
    <row r="718">
      <c r="A718" s="38" t="s">
        <v>1479</v>
      </c>
      <c r="B718" s="39" t="s">
        <v>1480</v>
      </c>
    </row>
    <row r="719">
      <c r="A719" s="38" t="s">
        <v>1481</v>
      </c>
      <c r="B719" s="39" t="s">
        <v>1482</v>
      </c>
    </row>
    <row r="720">
      <c r="A720" s="38" t="s">
        <v>1483</v>
      </c>
      <c r="B720" s="39" t="s">
        <v>1484</v>
      </c>
    </row>
    <row r="721">
      <c r="A721" s="38" t="s">
        <v>1485</v>
      </c>
      <c r="B721" s="39" t="s">
        <v>1486</v>
      </c>
    </row>
    <row r="722">
      <c r="A722" s="38" t="s">
        <v>1487</v>
      </c>
      <c r="B722" s="39" t="s">
        <v>1488</v>
      </c>
    </row>
    <row r="723">
      <c r="A723" s="38" t="s">
        <v>1489</v>
      </c>
      <c r="B723" s="39" t="s">
        <v>1490</v>
      </c>
    </row>
    <row r="724">
      <c r="A724" s="38" t="s">
        <v>1491</v>
      </c>
      <c r="B724" s="39" t="s">
        <v>1492</v>
      </c>
    </row>
    <row r="725">
      <c r="A725" s="38" t="s">
        <v>1493</v>
      </c>
      <c r="B725" s="39" t="s">
        <v>1494</v>
      </c>
    </row>
    <row r="726">
      <c r="A726" s="38" t="s">
        <v>1495</v>
      </c>
      <c r="B726" s="39" t="s">
        <v>1496</v>
      </c>
    </row>
    <row r="727">
      <c r="A727" s="38" t="s">
        <v>1497</v>
      </c>
      <c r="B727" s="39" t="s">
        <v>1498</v>
      </c>
    </row>
    <row r="728">
      <c r="A728" s="38" t="s">
        <v>1499</v>
      </c>
      <c r="B728" s="39" t="s">
        <v>1500</v>
      </c>
    </row>
    <row r="729">
      <c r="A729" s="38" t="s">
        <v>1501</v>
      </c>
      <c r="B729" s="39" t="s">
        <v>1502</v>
      </c>
    </row>
    <row r="730">
      <c r="A730" s="38" t="s">
        <v>1503</v>
      </c>
      <c r="B730" s="39" t="s">
        <v>1504</v>
      </c>
    </row>
    <row r="731">
      <c r="A731" s="38" t="s">
        <v>1505</v>
      </c>
      <c r="B731" s="39" t="s">
        <v>1506</v>
      </c>
    </row>
    <row r="732">
      <c r="A732" s="38" t="s">
        <v>1507</v>
      </c>
      <c r="B732" s="39" t="s">
        <v>1508</v>
      </c>
    </row>
    <row r="733">
      <c r="A733" s="38" t="s">
        <v>1509</v>
      </c>
      <c r="B733" s="39" t="s">
        <v>1510</v>
      </c>
    </row>
    <row r="734">
      <c r="A734" s="38" t="s">
        <v>1511</v>
      </c>
      <c r="B734" s="39" t="s">
        <v>1512</v>
      </c>
    </row>
    <row r="735">
      <c r="A735" s="38" t="s">
        <v>1513</v>
      </c>
      <c r="B735" s="39" t="s">
        <v>1514</v>
      </c>
    </row>
    <row r="736">
      <c r="A736" s="38" t="s">
        <v>1515</v>
      </c>
      <c r="B736" s="39" t="s">
        <v>1516</v>
      </c>
    </row>
    <row r="737">
      <c r="A737" s="38" t="s">
        <v>1517</v>
      </c>
      <c r="B737" s="39" t="s">
        <v>1518</v>
      </c>
    </row>
    <row r="738">
      <c r="A738" s="38" t="s">
        <v>1519</v>
      </c>
      <c r="B738" s="39" t="s">
        <v>1520</v>
      </c>
    </row>
    <row r="739">
      <c r="A739" s="38" t="s">
        <v>1521</v>
      </c>
      <c r="B739" s="39" t="s">
        <v>1522</v>
      </c>
    </row>
    <row r="740">
      <c r="A740" s="38" t="s">
        <v>1523</v>
      </c>
      <c r="B740" s="39" t="s">
        <v>1524</v>
      </c>
    </row>
    <row r="741">
      <c r="A741" s="38" t="s">
        <v>1525</v>
      </c>
      <c r="B741" s="39" t="s">
        <v>1526</v>
      </c>
    </row>
    <row r="742">
      <c r="A742" s="38" t="s">
        <v>1527</v>
      </c>
      <c r="B742" s="39" t="s">
        <v>1528</v>
      </c>
    </row>
    <row r="743">
      <c r="A743" s="38" t="s">
        <v>1529</v>
      </c>
      <c r="B743" s="39" t="s">
        <v>1530</v>
      </c>
    </row>
    <row r="744">
      <c r="A744" s="38" t="s">
        <v>1531</v>
      </c>
      <c r="B744" s="39" t="s">
        <v>1532</v>
      </c>
    </row>
    <row r="745">
      <c r="A745" s="38" t="s">
        <v>1533</v>
      </c>
      <c r="B745" s="39" t="s">
        <v>1534</v>
      </c>
    </row>
    <row r="746">
      <c r="A746" s="38" t="s">
        <v>1535</v>
      </c>
      <c r="B746" s="39" t="s">
        <v>1536</v>
      </c>
    </row>
    <row r="747">
      <c r="A747" s="38" t="s">
        <v>1537</v>
      </c>
      <c r="B747" s="39" t="s">
        <v>1538</v>
      </c>
    </row>
    <row r="748">
      <c r="A748" s="38" t="s">
        <v>1539</v>
      </c>
      <c r="B748" s="39" t="s">
        <v>1540</v>
      </c>
    </row>
    <row r="749">
      <c r="A749" s="38" t="s">
        <v>1541</v>
      </c>
      <c r="B749" s="39" t="s">
        <v>1542</v>
      </c>
    </row>
    <row r="750">
      <c r="A750" s="40" t="s">
        <v>1543</v>
      </c>
      <c r="B750" s="41" t="s">
        <v>1544</v>
      </c>
    </row>
    <row r="751">
      <c r="A751" s="38" t="s">
        <v>1545</v>
      </c>
      <c r="B751" s="39" t="s">
        <v>1546</v>
      </c>
    </row>
    <row r="752">
      <c r="A752" s="38" t="s">
        <v>1547</v>
      </c>
      <c r="B752" s="39" t="s">
        <v>1548</v>
      </c>
    </row>
    <row r="753">
      <c r="A753" s="38" t="s">
        <v>1549</v>
      </c>
      <c r="B753" s="39" t="s">
        <v>1550</v>
      </c>
    </row>
    <row r="754">
      <c r="A754" s="38" t="s">
        <v>1551</v>
      </c>
      <c r="B754" s="39" t="s">
        <v>1552</v>
      </c>
    </row>
    <row r="755">
      <c r="A755" s="38" t="s">
        <v>1553</v>
      </c>
      <c r="B755" s="39" t="s">
        <v>1554</v>
      </c>
    </row>
    <row r="756">
      <c r="A756" s="38" t="s">
        <v>1555</v>
      </c>
      <c r="B756" s="39" t="s">
        <v>1556</v>
      </c>
    </row>
    <row r="757">
      <c r="A757" s="38" t="s">
        <v>1557</v>
      </c>
      <c r="B757" s="39" t="s">
        <v>1558</v>
      </c>
    </row>
    <row r="758">
      <c r="A758" s="38" t="s">
        <v>1559</v>
      </c>
      <c r="B758" s="39" t="s">
        <v>1560</v>
      </c>
    </row>
    <row r="759">
      <c r="A759" s="38" t="s">
        <v>1561</v>
      </c>
      <c r="B759" s="39" t="s">
        <v>1562</v>
      </c>
    </row>
    <row r="760">
      <c r="A760" s="38" t="s">
        <v>1563</v>
      </c>
      <c r="B760" s="39" t="s">
        <v>1564</v>
      </c>
    </row>
    <row r="761">
      <c r="A761" s="38" t="s">
        <v>1565</v>
      </c>
      <c r="B761" s="39" t="s">
        <v>1566</v>
      </c>
    </row>
    <row r="762">
      <c r="A762" s="38" t="s">
        <v>1567</v>
      </c>
      <c r="B762" s="39" t="s">
        <v>1568</v>
      </c>
    </row>
    <row r="763">
      <c r="A763" s="38" t="s">
        <v>1569</v>
      </c>
      <c r="B763" s="39" t="s">
        <v>1570</v>
      </c>
    </row>
    <row r="764">
      <c r="A764" s="38" t="s">
        <v>1571</v>
      </c>
      <c r="B764" s="39" t="s">
        <v>1572</v>
      </c>
    </row>
    <row r="765">
      <c r="A765" s="38" t="s">
        <v>1573</v>
      </c>
      <c r="B765" s="39" t="s">
        <v>1574</v>
      </c>
    </row>
    <row r="766">
      <c r="A766" s="38" t="s">
        <v>1575</v>
      </c>
      <c r="B766" s="39" t="s">
        <v>1576</v>
      </c>
    </row>
    <row r="767">
      <c r="A767" s="38" t="s">
        <v>1577</v>
      </c>
      <c r="B767" s="39" t="s">
        <v>1578</v>
      </c>
    </row>
    <row r="768">
      <c r="A768" s="38" t="s">
        <v>1579</v>
      </c>
      <c r="B768" s="39" t="s">
        <v>1580</v>
      </c>
    </row>
    <row r="769">
      <c r="A769" s="38" t="s">
        <v>1581</v>
      </c>
      <c r="B769" s="39" t="s">
        <v>1582</v>
      </c>
    </row>
    <row r="770">
      <c r="A770" s="38" t="s">
        <v>1583</v>
      </c>
      <c r="B770" s="39" t="s">
        <v>1584</v>
      </c>
    </row>
    <row r="771">
      <c r="A771" s="38" t="s">
        <v>1585</v>
      </c>
      <c r="B771" s="39" t="s">
        <v>1586</v>
      </c>
    </row>
    <row r="772">
      <c r="A772" s="38" t="s">
        <v>1587</v>
      </c>
      <c r="B772" s="39" t="s">
        <v>1588</v>
      </c>
    </row>
    <row r="773">
      <c r="A773" s="38" t="s">
        <v>1589</v>
      </c>
      <c r="B773" s="39" t="s">
        <v>1590</v>
      </c>
    </row>
    <row r="774">
      <c r="A774" s="38" t="s">
        <v>1591</v>
      </c>
      <c r="B774" s="39" t="s">
        <v>1592</v>
      </c>
    </row>
    <row r="775">
      <c r="A775" s="38" t="s">
        <v>1593</v>
      </c>
      <c r="B775" s="39" t="s">
        <v>1594</v>
      </c>
    </row>
    <row r="776">
      <c r="A776" s="38" t="s">
        <v>1595</v>
      </c>
      <c r="B776" s="39" t="s">
        <v>1596</v>
      </c>
    </row>
    <row r="777">
      <c r="A777" s="38" t="s">
        <v>1597</v>
      </c>
      <c r="B777" s="39" t="s">
        <v>1598</v>
      </c>
    </row>
    <row r="778">
      <c r="A778" s="38" t="s">
        <v>1599</v>
      </c>
      <c r="B778" s="39" t="s">
        <v>1600</v>
      </c>
    </row>
    <row r="779">
      <c r="A779" s="38" t="s">
        <v>1601</v>
      </c>
      <c r="B779" s="39" t="s">
        <v>1602</v>
      </c>
    </row>
    <row r="780">
      <c r="A780" s="38" t="s">
        <v>1603</v>
      </c>
      <c r="B780" s="39" t="s">
        <v>1604</v>
      </c>
    </row>
    <row r="781">
      <c r="A781" s="38" t="s">
        <v>1605</v>
      </c>
      <c r="B781" s="39" t="s">
        <v>1606</v>
      </c>
    </row>
    <row r="782">
      <c r="A782" s="38" t="s">
        <v>1607</v>
      </c>
      <c r="B782" s="39" t="s">
        <v>1608</v>
      </c>
    </row>
    <row r="783">
      <c r="A783" s="38" t="s">
        <v>1609</v>
      </c>
      <c r="B783" s="39" t="s">
        <v>1610</v>
      </c>
    </row>
    <row r="784">
      <c r="A784" s="38" t="s">
        <v>1611</v>
      </c>
      <c r="B784" s="39" t="s">
        <v>1612</v>
      </c>
    </row>
    <row r="785">
      <c r="A785" s="38" t="s">
        <v>1613</v>
      </c>
      <c r="B785" s="39" t="s">
        <v>1614</v>
      </c>
    </row>
    <row r="786">
      <c r="A786" s="38" t="s">
        <v>1615</v>
      </c>
      <c r="B786" s="39" t="s">
        <v>1616</v>
      </c>
    </row>
    <row r="787">
      <c r="A787" s="38" t="s">
        <v>1617</v>
      </c>
      <c r="B787" s="39" t="s">
        <v>1618</v>
      </c>
    </row>
    <row r="788">
      <c r="A788" s="38" t="s">
        <v>1619</v>
      </c>
      <c r="B788" s="39" t="s">
        <v>1620</v>
      </c>
    </row>
    <row r="789">
      <c r="A789" s="38" t="s">
        <v>1621</v>
      </c>
      <c r="B789" s="39" t="s">
        <v>1622</v>
      </c>
    </row>
    <row r="790">
      <c r="A790" s="38" t="s">
        <v>1623</v>
      </c>
      <c r="B790" s="39" t="s">
        <v>1624</v>
      </c>
    </row>
    <row r="791">
      <c r="A791" s="38" t="s">
        <v>1625</v>
      </c>
      <c r="B791" s="39" t="s">
        <v>1626</v>
      </c>
    </row>
    <row r="792">
      <c r="A792" s="38" t="s">
        <v>1627</v>
      </c>
      <c r="B792" s="39" t="s">
        <v>1628</v>
      </c>
    </row>
    <row r="793">
      <c r="A793" s="38" t="s">
        <v>1629</v>
      </c>
      <c r="B793" s="39" t="s">
        <v>1630</v>
      </c>
    </row>
    <row r="794">
      <c r="A794" s="38" t="s">
        <v>1631</v>
      </c>
      <c r="B794" s="39" t="s">
        <v>1632</v>
      </c>
    </row>
    <row r="795">
      <c r="A795" s="38" t="s">
        <v>1633</v>
      </c>
      <c r="B795" s="39" t="s">
        <v>1634</v>
      </c>
    </row>
    <row r="796">
      <c r="A796" s="38" t="s">
        <v>1635</v>
      </c>
      <c r="B796" s="39" t="s">
        <v>1636</v>
      </c>
    </row>
    <row r="797">
      <c r="A797" s="38" t="s">
        <v>1637</v>
      </c>
      <c r="B797" s="39" t="s">
        <v>1638</v>
      </c>
    </row>
    <row r="798">
      <c r="A798" s="40" t="s">
        <v>1639</v>
      </c>
      <c r="B798" s="41" t="s">
        <v>1640</v>
      </c>
    </row>
    <row r="799">
      <c r="A799" s="38" t="s">
        <v>1641</v>
      </c>
      <c r="B799" s="39" t="s">
        <v>1642</v>
      </c>
    </row>
    <row r="800">
      <c r="A800" s="38" t="s">
        <v>1643</v>
      </c>
      <c r="B800" s="39" t="s">
        <v>1644</v>
      </c>
    </row>
    <row r="801">
      <c r="A801" s="38" t="s">
        <v>1645</v>
      </c>
      <c r="B801" s="39" t="s">
        <v>1646</v>
      </c>
    </row>
    <row r="802">
      <c r="A802" s="38" t="s">
        <v>1647</v>
      </c>
      <c r="B802" s="39" t="s">
        <v>1648</v>
      </c>
    </row>
    <row r="803">
      <c r="A803" s="38" t="s">
        <v>1649</v>
      </c>
      <c r="B803" s="39" t="s">
        <v>1650</v>
      </c>
    </row>
    <row r="804">
      <c r="A804" s="38" t="s">
        <v>1651</v>
      </c>
      <c r="B804" s="39" t="s">
        <v>1652</v>
      </c>
    </row>
    <row r="805">
      <c r="A805" s="38" t="s">
        <v>1653</v>
      </c>
      <c r="B805" s="39" t="s">
        <v>1654</v>
      </c>
    </row>
    <row r="806">
      <c r="A806" s="38" t="s">
        <v>1655</v>
      </c>
      <c r="B806" s="39" t="s">
        <v>1656</v>
      </c>
    </row>
    <row r="807">
      <c r="A807" s="38" t="s">
        <v>1657</v>
      </c>
      <c r="B807" s="39" t="s">
        <v>1658</v>
      </c>
    </row>
    <row r="808">
      <c r="A808" s="38" t="s">
        <v>1659</v>
      </c>
      <c r="B808" s="39" t="s">
        <v>1660</v>
      </c>
    </row>
    <row r="809">
      <c r="A809" s="38" t="s">
        <v>1661</v>
      </c>
      <c r="B809" s="39" t="s">
        <v>1662</v>
      </c>
    </row>
    <row r="810">
      <c r="A810" s="38" t="s">
        <v>1663</v>
      </c>
      <c r="B810" s="39" t="s">
        <v>1664</v>
      </c>
    </row>
    <row r="811">
      <c r="A811" s="38" t="s">
        <v>1665</v>
      </c>
      <c r="B811" s="39" t="s">
        <v>1666</v>
      </c>
    </row>
    <row r="812">
      <c r="A812" s="38" t="s">
        <v>1667</v>
      </c>
      <c r="B812" s="39" t="s">
        <v>1668</v>
      </c>
    </row>
    <row r="813">
      <c r="A813" s="38" t="s">
        <v>1669</v>
      </c>
      <c r="B813" s="39" t="s">
        <v>1670</v>
      </c>
    </row>
    <row r="814">
      <c r="A814" s="38" t="s">
        <v>1671</v>
      </c>
      <c r="B814" s="39" t="s">
        <v>1672</v>
      </c>
    </row>
    <row r="815">
      <c r="A815" s="38" t="s">
        <v>1673</v>
      </c>
      <c r="B815" s="39" t="s">
        <v>1674</v>
      </c>
    </row>
    <row r="816">
      <c r="A816" s="38" t="s">
        <v>1675</v>
      </c>
      <c r="B816" s="39" t="s">
        <v>1676</v>
      </c>
    </row>
    <row r="817">
      <c r="A817" s="38" t="s">
        <v>1677</v>
      </c>
      <c r="B817" s="39" t="s">
        <v>1678</v>
      </c>
    </row>
    <row r="818">
      <c r="A818" s="38" t="s">
        <v>1679</v>
      </c>
      <c r="B818" s="39" t="s">
        <v>1680</v>
      </c>
    </row>
    <row r="819">
      <c r="A819" s="38" t="s">
        <v>1681</v>
      </c>
      <c r="B819" s="39" t="s">
        <v>1682</v>
      </c>
    </row>
    <row r="820">
      <c r="A820" s="38" t="s">
        <v>1683</v>
      </c>
      <c r="B820" s="39" t="s">
        <v>1684</v>
      </c>
    </row>
    <row r="821">
      <c r="A821" s="38" t="s">
        <v>1685</v>
      </c>
      <c r="B821" s="39" t="s">
        <v>1686</v>
      </c>
    </row>
    <row r="822">
      <c r="A822" s="38" t="s">
        <v>1687</v>
      </c>
      <c r="B822" s="39" t="s">
        <v>1688</v>
      </c>
    </row>
    <row r="823">
      <c r="A823" s="38" t="s">
        <v>1689</v>
      </c>
      <c r="B823" s="39" t="s">
        <v>1690</v>
      </c>
    </row>
    <row r="824">
      <c r="A824" s="38" t="s">
        <v>1691</v>
      </c>
      <c r="B824" s="39" t="s">
        <v>1692</v>
      </c>
    </row>
    <row r="825">
      <c r="A825" s="38" t="s">
        <v>1693</v>
      </c>
      <c r="B825" s="39" t="s">
        <v>1694</v>
      </c>
    </row>
    <row r="826">
      <c r="A826" s="38" t="s">
        <v>1695</v>
      </c>
      <c r="B826" s="39" t="s">
        <v>1696</v>
      </c>
    </row>
    <row r="827">
      <c r="A827" s="38" t="s">
        <v>1697</v>
      </c>
      <c r="B827" s="39" t="s">
        <v>1698</v>
      </c>
    </row>
    <row r="828">
      <c r="A828" s="38" t="s">
        <v>1699</v>
      </c>
      <c r="B828" s="39" t="s">
        <v>1700</v>
      </c>
    </row>
    <row r="829">
      <c r="A829" s="38" t="s">
        <v>1701</v>
      </c>
      <c r="B829" s="39" t="s">
        <v>1702</v>
      </c>
    </row>
    <row r="830">
      <c r="A830" s="38" t="s">
        <v>1703</v>
      </c>
      <c r="B830" s="39" t="s">
        <v>1704</v>
      </c>
    </row>
    <row r="831">
      <c r="A831" s="38" t="s">
        <v>1705</v>
      </c>
      <c r="B831" s="39" t="s">
        <v>1706</v>
      </c>
    </row>
    <row r="832">
      <c r="A832" s="38" t="s">
        <v>1707</v>
      </c>
      <c r="B832" s="39" t="s">
        <v>1708</v>
      </c>
    </row>
    <row r="833">
      <c r="A833" s="38" t="s">
        <v>1709</v>
      </c>
      <c r="B833" s="39" t="s">
        <v>1710</v>
      </c>
    </row>
    <row r="834">
      <c r="A834" s="38" t="s">
        <v>1711</v>
      </c>
      <c r="B834" s="39" t="s">
        <v>1712</v>
      </c>
    </row>
    <row r="835">
      <c r="A835" s="38" t="s">
        <v>1713</v>
      </c>
      <c r="B835" s="39" t="s">
        <v>1714</v>
      </c>
    </row>
    <row r="836">
      <c r="A836" s="38" t="s">
        <v>1715</v>
      </c>
      <c r="B836" s="39" t="s">
        <v>1716</v>
      </c>
    </row>
    <row r="837">
      <c r="A837" s="38" t="s">
        <v>1717</v>
      </c>
      <c r="B837" s="39" t="s">
        <v>1718</v>
      </c>
    </row>
    <row r="838">
      <c r="A838" s="38" t="s">
        <v>1719</v>
      </c>
      <c r="B838" s="39" t="s">
        <v>1720</v>
      </c>
    </row>
    <row r="839">
      <c r="A839" s="38" t="s">
        <v>1721</v>
      </c>
      <c r="B839" s="39" t="s">
        <v>1722</v>
      </c>
    </row>
    <row r="840">
      <c r="A840" s="38" t="s">
        <v>1723</v>
      </c>
      <c r="B840" s="39" t="s">
        <v>1724</v>
      </c>
    </row>
    <row r="841">
      <c r="A841" s="38" t="s">
        <v>1725</v>
      </c>
      <c r="B841" s="39" t="s">
        <v>1726</v>
      </c>
    </row>
    <row r="842">
      <c r="A842" s="38" t="s">
        <v>1727</v>
      </c>
      <c r="B842" s="39" t="s">
        <v>1728</v>
      </c>
    </row>
    <row r="843">
      <c r="A843" s="38" t="s">
        <v>1729</v>
      </c>
      <c r="B843" s="39" t="s">
        <v>1730</v>
      </c>
    </row>
    <row r="844">
      <c r="A844" s="38" t="s">
        <v>1731</v>
      </c>
      <c r="B844" s="39" t="s">
        <v>1732</v>
      </c>
    </row>
    <row r="845">
      <c r="A845" s="38" t="s">
        <v>1733</v>
      </c>
      <c r="B845" s="39" t="s">
        <v>1734</v>
      </c>
    </row>
    <row r="846">
      <c r="A846" s="38" t="s">
        <v>1735</v>
      </c>
      <c r="B846" s="39" t="s">
        <v>1736</v>
      </c>
    </row>
    <row r="847">
      <c r="A847" s="38" t="s">
        <v>1737</v>
      </c>
      <c r="B847" s="39" t="s">
        <v>1738</v>
      </c>
    </row>
    <row r="848">
      <c r="A848" s="38" t="s">
        <v>1739</v>
      </c>
      <c r="B848" s="39" t="s">
        <v>1740</v>
      </c>
    </row>
    <row r="849">
      <c r="A849" s="38" t="s">
        <v>1741</v>
      </c>
      <c r="B849" s="39" t="s">
        <v>1742</v>
      </c>
    </row>
    <row r="850">
      <c r="A850" s="38" t="s">
        <v>1743</v>
      </c>
      <c r="B850" s="39" t="s">
        <v>1744</v>
      </c>
    </row>
    <row r="851">
      <c r="A851" s="38" t="s">
        <v>1745</v>
      </c>
      <c r="B851" s="39" t="s">
        <v>1746</v>
      </c>
    </row>
    <row r="852">
      <c r="A852" s="38" t="s">
        <v>1747</v>
      </c>
      <c r="B852" s="39" t="s">
        <v>1748</v>
      </c>
    </row>
    <row r="853">
      <c r="A853" s="38" t="s">
        <v>1749</v>
      </c>
      <c r="B853" s="39" t="s">
        <v>1750</v>
      </c>
    </row>
    <row r="854">
      <c r="A854" s="38" t="s">
        <v>1751</v>
      </c>
      <c r="B854" s="39" t="s">
        <v>1752</v>
      </c>
    </row>
    <row r="855">
      <c r="A855" s="40" t="s">
        <v>1753</v>
      </c>
      <c r="B855" s="41" t="s">
        <v>1754</v>
      </c>
    </row>
    <row r="856">
      <c r="A856" s="38" t="s">
        <v>1755</v>
      </c>
      <c r="B856" s="39" t="s">
        <v>1756</v>
      </c>
    </row>
    <row r="857">
      <c r="A857" s="38" t="s">
        <v>1757</v>
      </c>
      <c r="B857" s="39" t="s">
        <v>1758</v>
      </c>
    </row>
    <row r="858">
      <c r="A858" s="38" t="s">
        <v>1759</v>
      </c>
      <c r="B858" s="39" t="s">
        <v>1760</v>
      </c>
    </row>
    <row r="859">
      <c r="A859" s="38" t="s">
        <v>1761</v>
      </c>
      <c r="B859" s="39" t="s">
        <v>1762</v>
      </c>
    </row>
    <row r="860">
      <c r="A860" s="38" t="s">
        <v>1763</v>
      </c>
      <c r="B860" s="39" t="s">
        <v>1764</v>
      </c>
    </row>
    <row r="861">
      <c r="A861" s="38" t="s">
        <v>1765</v>
      </c>
      <c r="B861" s="39" t="s">
        <v>1766</v>
      </c>
    </row>
    <row r="862">
      <c r="A862" s="38" t="s">
        <v>1767</v>
      </c>
      <c r="B862" s="39" t="s">
        <v>1768</v>
      </c>
    </row>
    <row r="863">
      <c r="A863" s="38" t="s">
        <v>1769</v>
      </c>
      <c r="B863" s="39" t="s">
        <v>1770</v>
      </c>
    </row>
    <row r="864">
      <c r="A864" s="47" t="s">
        <v>1771</v>
      </c>
      <c r="B864" s="39" t="s">
        <v>1772</v>
      </c>
    </row>
    <row r="865">
      <c r="A865" s="38" t="s">
        <v>1773</v>
      </c>
      <c r="B865" s="39" t="s">
        <v>1774</v>
      </c>
    </row>
    <row r="866">
      <c r="A866" s="38" t="s">
        <v>1775</v>
      </c>
      <c r="B866" s="39" t="s">
        <v>429</v>
      </c>
    </row>
    <row r="867">
      <c r="A867" s="38" t="s">
        <v>1776</v>
      </c>
      <c r="B867" s="39" t="s">
        <v>1777</v>
      </c>
    </row>
    <row r="868">
      <c r="A868" s="38" t="s">
        <v>1778</v>
      </c>
      <c r="B868" s="39" t="s">
        <v>1779</v>
      </c>
    </row>
    <row r="869">
      <c r="A869" s="38" t="s">
        <v>1780</v>
      </c>
      <c r="B869" s="39" t="s">
        <v>1781</v>
      </c>
    </row>
    <row r="870">
      <c r="A870" s="38" t="s">
        <v>1782</v>
      </c>
      <c r="B870" s="39" t="s">
        <v>1783</v>
      </c>
    </row>
    <row r="871">
      <c r="A871" s="38" t="s">
        <v>1784</v>
      </c>
      <c r="B871" s="39" t="s">
        <v>1785</v>
      </c>
    </row>
    <row r="872">
      <c r="A872" s="38" t="s">
        <v>1786</v>
      </c>
      <c r="B872" s="39" t="s">
        <v>1787</v>
      </c>
    </row>
    <row r="873">
      <c r="A873" s="38" t="s">
        <v>1788</v>
      </c>
      <c r="B873" s="39" t="s">
        <v>1789</v>
      </c>
    </row>
    <row r="874">
      <c r="A874" s="38" t="s">
        <v>1790</v>
      </c>
      <c r="B874" s="39" t="s">
        <v>1791</v>
      </c>
    </row>
    <row r="875">
      <c r="A875" s="38" t="s">
        <v>1792</v>
      </c>
      <c r="B875" s="39" t="s">
        <v>1793</v>
      </c>
    </row>
    <row r="876">
      <c r="A876" s="38" t="s">
        <v>1794</v>
      </c>
      <c r="B876" s="39" t="s">
        <v>1795</v>
      </c>
    </row>
    <row r="877">
      <c r="A877" s="38" t="s">
        <v>1796</v>
      </c>
      <c r="B877" s="39" t="s">
        <v>1797</v>
      </c>
    </row>
    <row r="878">
      <c r="A878" s="38" t="s">
        <v>1798</v>
      </c>
      <c r="B878" s="39" t="s">
        <v>1799</v>
      </c>
    </row>
    <row r="879">
      <c r="A879" s="38" t="s">
        <v>1800</v>
      </c>
      <c r="B879" s="39" t="s">
        <v>1801</v>
      </c>
    </row>
    <row r="880">
      <c r="A880" s="38" t="s">
        <v>1802</v>
      </c>
      <c r="B880" s="39" t="s">
        <v>1803</v>
      </c>
    </row>
    <row r="881">
      <c r="A881" s="38" t="s">
        <v>1804</v>
      </c>
      <c r="B881" s="39" t="s">
        <v>1805</v>
      </c>
    </row>
    <row r="882">
      <c r="A882" s="38" t="s">
        <v>1806</v>
      </c>
      <c r="B882" s="39" t="s">
        <v>1807</v>
      </c>
    </row>
    <row r="883">
      <c r="A883" s="38" t="s">
        <v>1808</v>
      </c>
      <c r="B883" s="39" t="s">
        <v>1809</v>
      </c>
    </row>
    <row r="884">
      <c r="A884" s="38" t="s">
        <v>1810</v>
      </c>
      <c r="B884" s="39" t="s">
        <v>1811</v>
      </c>
    </row>
    <row r="885">
      <c r="A885" s="38" t="s">
        <v>1812</v>
      </c>
      <c r="B885" s="39" t="s">
        <v>1813</v>
      </c>
    </row>
    <row r="886">
      <c r="A886" s="38" t="s">
        <v>1814</v>
      </c>
      <c r="B886" s="39" t="s">
        <v>1815</v>
      </c>
    </row>
    <row r="887">
      <c r="A887" s="38" t="s">
        <v>1816</v>
      </c>
      <c r="B887" s="39" t="s">
        <v>1817</v>
      </c>
    </row>
    <row r="888">
      <c r="A888" s="38" t="s">
        <v>1818</v>
      </c>
      <c r="B888" s="42" t="s">
        <v>1819</v>
      </c>
    </row>
    <row r="889">
      <c r="A889" s="38" t="s">
        <v>1820</v>
      </c>
      <c r="B889" s="39" t="s">
        <v>1821</v>
      </c>
    </row>
    <row r="890">
      <c r="A890" s="38" t="s">
        <v>1822</v>
      </c>
      <c r="B890" s="39" t="s">
        <v>1823</v>
      </c>
    </row>
    <row r="891">
      <c r="A891" s="38" t="s">
        <v>1824</v>
      </c>
      <c r="B891" s="39" t="s">
        <v>1825</v>
      </c>
    </row>
    <row r="892">
      <c r="A892" s="38" t="s">
        <v>1826</v>
      </c>
      <c r="B892" s="39" t="s">
        <v>1827</v>
      </c>
    </row>
    <row r="893">
      <c r="A893" s="38" t="s">
        <v>1828</v>
      </c>
      <c r="B893" s="39" t="s">
        <v>1829</v>
      </c>
    </row>
    <row r="894">
      <c r="A894" s="38" t="s">
        <v>1830</v>
      </c>
      <c r="B894" s="39" t="s">
        <v>1831</v>
      </c>
    </row>
    <row r="895">
      <c r="A895" s="38" t="s">
        <v>1832</v>
      </c>
      <c r="B895" s="39" t="s">
        <v>1833</v>
      </c>
    </row>
    <row r="896">
      <c r="A896" s="38" t="s">
        <v>1834</v>
      </c>
      <c r="B896" s="39" t="s">
        <v>1835</v>
      </c>
    </row>
    <row r="897">
      <c r="A897" s="38" t="s">
        <v>1836</v>
      </c>
      <c r="B897" s="39" t="s">
        <v>1837</v>
      </c>
    </row>
    <row r="898">
      <c r="A898" s="38" t="s">
        <v>1838</v>
      </c>
      <c r="B898" s="39" t="s">
        <v>1839</v>
      </c>
    </row>
    <row r="899">
      <c r="A899" s="38" t="s">
        <v>1840</v>
      </c>
      <c r="B899" s="39" t="s">
        <v>1841</v>
      </c>
    </row>
    <row r="900">
      <c r="A900" s="38" t="s">
        <v>1842</v>
      </c>
      <c r="B900" s="43" t="s">
        <v>1843</v>
      </c>
    </row>
    <row r="901">
      <c r="A901" s="38" t="s">
        <v>1844</v>
      </c>
      <c r="B901" s="39" t="s">
        <v>1845</v>
      </c>
    </row>
    <row r="902">
      <c r="A902" s="38" t="s">
        <v>1846</v>
      </c>
      <c r="B902" s="39" t="s">
        <v>1847</v>
      </c>
    </row>
    <row r="903">
      <c r="A903" s="38" t="s">
        <v>1848</v>
      </c>
      <c r="B903" s="39" t="s">
        <v>1849</v>
      </c>
    </row>
    <row r="904">
      <c r="A904" s="38" t="s">
        <v>1850</v>
      </c>
      <c r="B904" s="39" t="s">
        <v>1851</v>
      </c>
    </row>
    <row r="905">
      <c r="A905" s="38" t="s">
        <v>1852</v>
      </c>
      <c r="B905" s="49" t="s">
        <v>1853</v>
      </c>
    </row>
    <row r="906">
      <c r="A906" s="38" t="s">
        <v>1854</v>
      </c>
      <c r="B906" s="39" t="s">
        <v>1855</v>
      </c>
    </row>
    <row r="907">
      <c r="A907" s="38" t="s">
        <v>1856</v>
      </c>
      <c r="B907" s="39" t="s">
        <v>1857</v>
      </c>
    </row>
    <row r="908">
      <c r="A908" s="38" t="s">
        <v>1858</v>
      </c>
      <c r="B908" s="39" t="s">
        <v>1859</v>
      </c>
    </row>
    <row r="909">
      <c r="A909" s="38" t="s">
        <v>1860</v>
      </c>
      <c r="B909" s="39" t="s">
        <v>1861</v>
      </c>
    </row>
    <row r="910">
      <c r="A910" s="38" t="s">
        <v>1862</v>
      </c>
      <c r="B910" s="39" t="s">
        <v>1863</v>
      </c>
    </row>
    <row r="911">
      <c r="A911" s="40" t="s">
        <v>1864</v>
      </c>
      <c r="B911" s="41" t="s">
        <v>1865</v>
      </c>
    </row>
    <row r="912">
      <c r="A912" s="38" t="s">
        <v>1866</v>
      </c>
      <c r="B912" s="39" t="s">
        <v>1867</v>
      </c>
    </row>
    <row r="913">
      <c r="A913" s="38" t="s">
        <v>1868</v>
      </c>
      <c r="B913" s="39" t="s">
        <v>1869</v>
      </c>
    </row>
    <row r="914">
      <c r="A914" s="38" t="s">
        <v>1870</v>
      </c>
      <c r="B914" s="39" t="s">
        <v>1871</v>
      </c>
    </row>
    <row r="915">
      <c r="A915" s="38" t="s">
        <v>1872</v>
      </c>
      <c r="B915" s="39" t="s">
        <v>1873</v>
      </c>
    </row>
    <row r="916">
      <c r="A916" s="38" t="s">
        <v>1874</v>
      </c>
      <c r="B916" s="39" t="s">
        <v>1875</v>
      </c>
    </row>
    <row r="917">
      <c r="A917" s="38" t="s">
        <v>1876</v>
      </c>
      <c r="B917" s="39" t="s">
        <v>1877</v>
      </c>
    </row>
    <row r="918">
      <c r="A918" s="38" t="s">
        <v>1878</v>
      </c>
      <c r="B918" s="39" t="s">
        <v>1879</v>
      </c>
    </row>
    <row r="919">
      <c r="A919" s="38" t="s">
        <v>1880</v>
      </c>
      <c r="B919" s="39" t="s">
        <v>1881</v>
      </c>
    </row>
    <row r="920">
      <c r="A920" s="38" t="s">
        <v>1882</v>
      </c>
      <c r="B920" s="39" t="s">
        <v>1883</v>
      </c>
    </row>
    <row r="921">
      <c r="A921" s="38" t="s">
        <v>1884</v>
      </c>
      <c r="B921" s="39" t="s">
        <v>1885</v>
      </c>
    </row>
    <row r="922">
      <c r="A922" s="38" t="s">
        <v>1886</v>
      </c>
      <c r="B922" s="39" t="s">
        <v>1887</v>
      </c>
    </row>
    <row r="923">
      <c r="A923" s="38" t="s">
        <v>1888</v>
      </c>
      <c r="B923" s="39" t="s">
        <v>1889</v>
      </c>
    </row>
    <row r="924">
      <c r="A924" s="38" t="s">
        <v>1890</v>
      </c>
      <c r="B924" s="39" t="s">
        <v>1891</v>
      </c>
    </row>
    <row r="925">
      <c r="A925" s="38" t="s">
        <v>1892</v>
      </c>
      <c r="B925" s="44" t="s">
        <v>1893</v>
      </c>
    </row>
    <row r="926">
      <c r="A926" s="38" t="s">
        <v>1894</v>
      </c>
      <c r="B926" s="39" t="s">
        <v>1895</v>
      </c>
    </row>
    <row r="927">
      <c r="A927" s="38" t="s">
        <v>1896</v>
      </c>
      <c r="B927" s="39" t="s">
        <v>1897</v>
      </c>
    </row>
    <row r="928">
      <c r="A928" s="38" t="s">
        <v>1898</v>
      </c>
      <c r="B928" s="39" t="s">
        <v>1899</v>
      </c>
    </row>
    <row r="929">
      <c r="A929" s="40" t="s">
        <v>1900</v>
      </c>
      <c r="B929" s="41" t="s">
        <v>1901</v>
      </c>
    </row>
    <row r="930">
      <c r="A930" s="38" t="s">
        <v>1902</v>
      </c>
      <c r="B930" s="39" t="s">
        <v>1903</v>
      </c>
    </row>
    <row r="931">
      <c r="A931" s="38" t="s">
        <v>1904</v>
      </c>
      <c r="B931" s="39" t="s">
        <v>1905</v>
      </c>
    </row>
    <row r="932">
      <c r="A932" s="38" t="s">
        <v>1906</v>
      </c>
      <c r="B932" s="39" t="s">
        <v>1907</v>
      </c>
    </row>
    <row r="933">
      <c r="A933" s="38" t="s">
        <v>1908</v>
      </c>
      <c r="B933" s="39" t="s">
        <v>1909</v>
      </c>
    </row>
    <row r="934">
      <c r="A934" s="38" t="s">
        <v>1910</v>
      </c>
      <c r="B934" s="39" t="s">
        <v>1911</v>
      </c>
    </row>
    <row r="935">
      <c r="A935" s="38" t="s">
        <v>1912</v>
      </c>
      <c r="B935" s="39" t="s">
        <v>1913</v>
      </c>
    </row>
    <row r="936">
      <c r="A936" s="38" t="s">
        <v>1914</v>
      </c>
      <c r="B936" s="43" t="s">
        <v>1915</v>
      </c>
    </row>
    <row r="937">
      <c r="A937" s="38" t="s">
        <v>1916</v>
      </c>
      <c r="B937" s="39" t="s">
        <v>1917</v>
      </c>
    </row>
    <row r="938">
      <c r="A938" s="38" t="s">
        <v>1918</v>
      </c>
      <c r="B938" s="39" t="s">
        <v>1919</v>
      </c>
    </row>
    <row r="939">
      <c r="A939" s="38" t="s">
        <v>1920</v>
      </c>
      <c r="B939" s="39" t="s">
        <v>1921</v>
      </c>
    </row>
    <row r="940">
      <c r="A940" s="38" t="s">
        <v>1922</v>
      </c>
      <c r="B940" s="39" t="s">
        <v>1923</v>
      </c>
    </row>
    <row r="941">
      <c r="A941" s="38" t="s">
        <v>1924</v>
      </c>
      <c r="B941" s="39" t="s">
        <v>1925</v>
      </c>
    </row>
    <row r="942">
      <c r="A942" s="38" t="s">
        <v>1926</v>
      </c>
      <c r="B942" s="39" t="s">
        <v>1927</v>
      </c>
    </row>
    <row r="943">
      <c r="A943" s="38" t="s">
        <v>1928</v>
      </c>
      <c r="B943" s="39" t="s">
        <v>1929</v>
      </c>
    </row>
    <row r="944">
      <c r="A944" s="38" t="s">
        <v>1930</v>
      </c>
      <c r="B944" s="39" t="s">
        <v>1931</v>
      </c>
    </row>
    <row r="945">
      <c r="A945" s="38" t="s">
        <v>1932</v>
      </c>
      <c r="B945" s="39" t="s">
        <v>1933</v>
      </c>
    </row>
    <row r="946">
      <c r="A946" s="38" t="s">
        <v>1934</v>
      </c>
      <c r="B946" s="39" t="s">
        <v>1935</v>
      </c>
    </row>
    <row r="947">
      <c r="A947" s="38" t="s">
        <v>1936</v>
      </c>
      <c r="B947" s="39" t="s">
        <v>1937</v>
      </c>
    </row>
    <row r="948">
      <c r="A948" s="38" t="s">
        <v>1938</v>
      </c>
      <c r="B948" s="39" t="s">
        <v>1939</v>
      </c>
    </row>
    <row r="949">
      <c r="A949" s="40" t="s">
        <v>1940</v>
      </c>
      <c r="B949" s="41" t="s">
        <v>1941</v>
      </c>
    </row>
    <row r="950">
      <c r="A950" s="38" t="s">
        <v>1942</v>
      </c>
      <c r="B950" s="39" t="s">
        <v>1943</v>
      </c>
    </row>
    <row r="951">
      <c r="A951" s="38" t="s">
        <v>1944</v>
      </c>
      <c r="B951" s="39" t="s">
        <v>1945</v>
      </c>
    </row>
    <row r="952">
      <c r="A952" s="40" t="s">
        <v>1946</v>
      </c>
      <c r="B952" s="41" t="s">
        <v>1947</v>
      </c>
    </row>
    <row r="953">
      <c r="A953" s="38" t="s">
        <v>1948</v>
      </c>
      <c r="B953" s="39" t="s">
        <v>1949</v>
      </c>
    </row>
    <row r="954">
      <c r="A954" s="38" t="s">
        <v>1950</v>
      </c>
      <c r="B954" s="39" t="s">
        <v>1951</v>
      </c>
    </row>
    <row r="955">
      <c r="A955" s="38" t="s">
        <v>1952</v>
      </c>
      <c r="B955" s="39" t="s">
        <v>1953</v>
      </c>
    </row>
    <row r="956">
      <c r="A956" s="38" t="s">
        <v>1954</v>
      </c>
      <c r="B956" s="39" t="s">
        <v>1955</v>
      </c>
    </row>
    <row r="957">
      <c r="A957" s="38" t="s">
        <v>1956</v>
      </c>
      <c r="B957" s="39" t="s">
        <v>1957</v>
      </c>
    </row>
    <row r="958">
      <c r="A958" s="38" t="s">
        <v>1958</v>
      </c>
      <c r="B958" s="39" t="s">
        <v>1959</v>
      </c>
    </row>
    <row r="959">
      <c r="A959" s="38" t="s">
        <v>1960</v>
      </c>
      <c r="B959" s="39" t="s">
        <v>1961</v>
      </c>
    </row>
    <row r="960">
      <c r="A960" s="38" t="s">
        <v>1962</v>
      </c>
      <c r="B960" s="39" t="s">
        <v>1963</v>
      </c>
    </row>
    <row r="961">
      <c r="A961" s="38" t="s">
        <v>1964</v>
      </c>
      <c r="B961" s="39" t="s">
        <v>1965</v>
      </c>
    </row>
    <row r="962">
      <c r="A962" s="38" t="s">
        <v>1966</v>
      </c>
      <c r="B962" s="39" t="s">
        <v>1967</v>
      </c>
    </row>
    <row r="963">
      <c r="A963" s="38" t="s">
        <v>1968</v>
      </c>
      <c r="B963" s="39" t="s">
        <v>1969</v>
      </c>
    </row>
    <row r="964">
      <c r="A964" s="38" t="s">
        <v>1970</v>
      </c>
      <c r="B964" s="39" t="s">
        <v>1971</v>
      </c>
    </row>
    <row r="965">
      <c r="A965" s="38" t="s">
        <v>1972</v>
      </c>
      <c r="B965" s="39" t="s">
        <v>1973</v>
      </c>
    </row>
    <row r="966">
      <c r="A966" s="38" t="s">
        <v>1974</v>
      </c>
      <c r="B966" s="39" t="s">
        <v>1975</v>
      </c>
    </row>
    <row r="967">
      <c r="A967" s="38" t="s">
        <v>1976</v>
      </c>
      <c r="B967" s="39" t="s">
        <v>1977</v>
      </c>
    </row>
    <row r="968">
      <c r="A968" s="38" t="s">
        <v>1978</v>
      </c>
      <c r="B968" s="39" t="s">
        <v>1979</v>
      </c>
    </row>
    <row r="969">
      <c r="A969" s="38" t="s">
        <v>1980</v>
      </c>
      <c r="B969" s="39" t="s">
        <v>1981</v>
      </c>
    </row>
    <row r="970">
      <c r="A970" s="38" t="s">
        <v>1982</v>
      </c>
      <c r="B970" s="39" t="s">
        <v>1983</v>
      </c>
    </row>
    <row r="971">
      <c r="A971" s="40" t="s">
        <v>1984</v>
      </c>
      <c r="B971" s="41" t="s">
        <v>1985</v>
      </c>
    </row>
    <row r="972">
      <c r="A972" s="38" t="s">
        <v>1986</v>
      </c>
      <c r="B972" s="39" t="s">
        <v>1987</v>
      </c>
    </row>
    <row r="973">
      <c r="A973" s="38" t="s">
        <v>1988</v>
      </c>
      <c r="B973" s="39" t="s">
        <v>1989</v>
      </c>
    </row>
    <row r="974">
      <c r="A974" s="38" t="s">
        <v>1990</v>
      </c>
      <c r="B974" s="39" t="s">
        <v>1991</v>
      </c>
    </row>
    <row r="975">
      <c r="A975" s="38" t="s">
        <v>1992</v>
      </c>
      <c r="B975" s="39" t="s">
        <v>1993</v>
      </c>
    </row>
    <row r="976">
      <c r="A976" s="38" t="s">
        <v>1994</v>
      </c>
      <c r="B976" s="39" t="s">
        <v>1995</v>
      </c>
    </row>
    <row r="977">
      <c r="A977" s="40" t="s">
        <v>1996</v>
      </c>
      <c r="B977" s="41" t="s">
        <v>1997</v>
      </c>
    </row>
    <row r="978">
      <c r="A978" s="38" t="s">
        <v>1998</v>
      </c>
      <c r="B978" s="39" t="s">
        <v>1999</v>
      </c>
    </row>
    <row r="979">
      <c r="A979" s="38" t="s">
        <v>2000</v>
      </c>
      <c r="B979" s="39" t="s">
        <v>2001</v>
      </c>
    </row>
    <row r="980">
      <c r="A980" s="38" t="s">
        <v>2002</v>
      </c>
      <c r="B980" s="39" t="s">
        <v>2003</v>
      </c>
    </row>
    <row r="981">
      <c r="A981" s="38" t="s">
        <v>2004</v>
      </c>
      <c r="B981" s="39" t="s">
        <v>2005</v>
      </c>
    </row>
    <row r="982">
      <c r="A982" s="38" t="s">
        <v>2006</v>
      </c>
      <c r="B982" s="39" t="s">
        <v>2007</v>
      </c>
    </row>
    <row r="983">
      <c r="A983" s="38" t="s">
        <v>2008</v>
      </c>
      <c r="B983" s="39" t="s">
        <v>2009</v>
      </c>
    </row>
    <row r="984">
      <c r="A984" s="38" t="s">
        <v>2010</v>
      </c>
      <c r="B984" s="39" t="s">
        <v>2011</v>
      </c>
    </row>
    <row r="985">
      <c r="A985" s="38" t="s">
        <v>2012</v>
      </c>
      <c r="B985" s="39" t="s">
        <v>2013</v>
      </c>
    </row>
    <row r="986">
      <c r="A986" s="38" t="s">
        <v>2014</v>
      </c>
      <c r="B986" s="39" t="s">
        <v>2015</v>
      </c>
    </row>
    <row r="987">
      <c r="A987" s="38" t="s">
        <v>2016</v>
      </c>
      <c r="B987" s="39" t="s">
        <v>2017</v>
      </c>
    </row>
    <row r="988">
      <c r="A988" s="38" t="s">
        <v>2018</v>
      </c>
      <c r="B988" s="39" t="s">
        <v>2019</v>
      </c>
    </row>
    <row r="989">
      <c r="A989" s="38" t="s">
        <v>2020</v>
      </c>
      <c r="B989" s="39" t="s">
        <v>2021</v>
      </c>
    </row>
    <row r="990">
      <c r="A990" s="38" t="s">
        <v>2022</v>
      </c>
      <c r="B990" s="39" t="s">
        <v>2023</v>
      </c>
    </row>
    <row r="991">
      <c r="A991" s="38" t="s">
        <v>2024</v>
      </c>
      <c r="B991" s="39" t="s">
        <v>2025</v>
      </c>
    </row>
    <row r="992">
      <c r="A992" s="38" t="s">
        <v>2026</v>
      </c>
      <c r="B992" s="39" t="s">
        <v>2027</v>
      </c>
    </row>
    <row r="993">
      <c r="A993" s="38" t="s">
        <v>2028</v>
      </c>
      <c r="B993" s="39" t="s">
        <v>2029</v>
      </c>
    </row>
    <row r="994">
      <c r="A994" s="38" t="s">
        <v>2030</v>
      </c>
      <c r="B994" s="39" t="s">
        <v>2031</v>
      </c>
    </row>
    <row r="995">
      <c r="A995" s="38" t="s">
        <v>2032</v>
      </c>
      <c r="B995" s="39" t="s">
        <v>2033</v>
      </c>
    </row>
    <row r="996">
      <c r="A996" s="38" t="s">
        <v>2034</v>
      </c>
      <c r="B996" s="39" t="s">
        <v>2035</v>
      </c>
    </row>
    <row r="997">
      <c r="A997" s="38" t="s">
        <v>2036</v>
      </c>
      <c r="B997" s="39" t="s">
        <v>2037</v>
      </c>
    </row>
    <row r="998">
      <c r="A998" s="38" t="s">
        <v>2038</v>
      </c>
      <c r="B998" s="39" t="s">
        <v>2039</v>
      </c>
    </row>
    <row r="999">
      <c r="A999" s="38" t="s">
        <v>2040</v>
      </c>
      <c r="B999" s="39" t="s">
        <v>2041</v>
      </c>
    </row>
    <row r="1000">
      <c r="A1000" s="38" t="s">
        <v>2042</v>
      </c>
      <c r="B1000" s="39" t="s">
        <v>2043</v>
      </c>
    </row>
    <row r="1001">
      <c r="A1001" s="38" t="s">
        <v>2044</v>
      </c>
      <c r="B1001" s="39" t="s">
        <v>2045</v>
      </c>
    </row>
    <row r="1002">
      <c r="A1002" s="38" t="s">
        <v>2046</v>
      </c>
      <c r="B1002" s="39" t="s">
        <v>2047</v>
      </c>
    </row>
    <row r="1003">
      <c r="A1003" s="38" t="s">
        <v>2048</v>
      </c>
      <c r="B1003" s="39" t="s">
        <v>2049</v>
      </c>
    </row>
    <row r="1004">
      <c r="A1004" s="38" t="s">
        <v>2050</v>
      </c>
      <c r="B1004" s="44" t="s">
        <v>2051</v>
      </c>
    </row>
    <row r="1005">
      <c r="A1005" s="38" t="s">
        <v>2052</v>
      </c>
      <c r="B1005" s="39" t="s">
        <v>2053</v>
      </c>
    </row>
    <row r="1006">
      <c r="A1006" s="38" t="s">
        <v>2054</v>
      </c>
      <c r="B1006" s="39" t="s">
        <v>2055</v>
      </c>
    </row>
    <row r="1007">
      <c r="A1007" s="38" t="s">
        <v>2056</v>
      </c>
      <c r="B1007" s="39" t="s">
        <v>2057</v>
      </c>
    </row>
    <row r="1008">
      <c r="A1008" s="38" t="s">
        <v>2058</v>
      </c>
      <c r="B1008" s="39" t="s">
        <v>2059</v>
      </c>
    </row>
    <row r="1009">
      <c r="A1009" s="38" t="s">
        <v>2060</v>
      </c>
      <c r="B1009" s="39" t="s">
        <v>2061</v>
      </c>
    </row>
    <row r="1010">
      <c r="A1010" s="38" t="s">
        <v>2062</v>
      </c>
      <c r="B1010" s="39" t="s">
        <v>2063</v>
      </c>
    </row>
    <row r="1011">
      <c r="A1011" s="50" t="s">
        <v>2064</v>
      </c>
      <c r="B1011" s="39" t="s">
        <v>2065</v>
      </c>
    </row>
    <row r="1012">
      <c r="A1012" s="38" t="s">
        <v>2066</v>
      </c>
      <c r="B1012" s="39" t="s">
        <v>2067</v>
      </c>
    </row>
    <row r="1013">
      <c r="A1013" s="38" t="s">
        <v>2068</v>
      </c>
      <c r="B1013" s="39" t="s">
        <v>2069</v>
      </c>
    </row>
    <row r="1014">
      <c r="A1014" s="38" t="s">
        <v>2070</v>
      </c>
      <c r="B1014" s="39" t="s">
        <v>2071</v>
      </c>
    </row>
    <row r="1015">
      <c r="A1015" s="38" t="s">
        <v>2072</v>
      </c>
      <c r="B1015" s="39" t="s">
        <v>2073</v>
      </c>
    </row>
    <row r="1016">
      <c r="A1016" s="38" t="s">
        <v>2074</v>
      </c>
      <c r="B1016" s="39" t="s">
        <v>2075</v>
      </c>
    </row>
    <row r="1017">
      <c r="A1017" s="38" t="s">
        <v>2076</v>
      </c>
      <c r="B1017" s="39" t="s">
        <v>2076</v>
      </c>
    </row>
    <row r="1018">
      <c r="A1018" s="38" t="s">
        <v>2077</v>
      </c>
      <c r="B1018" s="39" t="s">
        <v>2078</v>
      </c>
    </row>
    <row r="1019">
      <c r="A1019" s="38" t="s">
        <v>2079</v>
      </c>
      <c r="B1019" s="39" t="s">
        <v>2080</v>
      </c>
    </row>
    <row r="1020">
      <c r="A1020" s="38" t="s">
        <v>2081</v>
      </c>
      <c r="B1020" s="39" t="s">
        <v>2082</v>
      </c>
    </row>
    <row r="1021">
      <c r="A1021" s="38" t="s">
        <v>2083</v>
      </c>
      <c r="B1021" s="39" t="s">
        <v>2084</v>
      </c>
    </row>
    <row r="1022">
      <c r="A1022" s="38" t="s">
        <v>2085</v>
      </c>
      <c r="B1022" s="39" t="s">
        <v>2086</v>
      </c>
    </row>
    <row r="1023">
      <c r="A1023" s="38" t="s">
        <v>2087</v>
      </c>
      <c r="B1023" s="39" t="s">
        <v>2088</v>
      </c>
    </row>
    <row r="1024">
      <c r="A1024" s="38" t="s">
        <v>2089</v>
      </c>
      <c r="B1024" s="39" t="s">
        <v>2090</v>
      </c>
    </row>
    <row r="1025">
      <c r="A1025" s="38" t="s">
        <v>2091</v>
      </c>
      <c r="B1025" s="39" t="s">
        <v>2092</v>
      </c>
    </row>
    <row r="1026">
      <c r="A1026" s="38" t="s">
        <v>2093</v>
      </c>
      <c r="B1026" s="39" t="s">
        <v>2094</v>
      </c>
    </row>
    <row r="1027">
      <c r="A1027" s="38" t="s">
        <v>2095</v>
      </c>
      <c r="B1027" s="39" t="s">
        <v>2096</v>
      </c>
    </row>
    <row r="1028">
      <c r="A1028" s="38" t="s">
        <v>2097</v>
      </c>
      <c r="B1028" s="39" t="s">
        <v>2098</v>
      </c>
    </row>
    <row r="1029">
      <c r="A1029" s="38" t="s">
        <v>2099</v>
      </c>
      <c r="B1029" s="39" t="s">
        <v>2100</v>
      </c>
    </row>
    <row r="1030">
      <c r="A1030" s="38" t="s">
        <v>2101</v>
      </c>
      <c r="B1030" s="39" t="s">
        <v>2102</v>
      </c>
    </row>
    <row r="1031">
      <c r="A1031" s="38" t="s">
        <v>2103</v>
      </c>
      <c r="B1031" s="39" t="s">
        <v>2104</v>
      </c>
    </row>
    <row r="1032">
      <c r="A1032" s="38" t="s">
        <v>2105</v>
      </c>
      <c r="B1032" s="39" t="s">
        <v>2106</v>
      </c>
    </row>
    <row r="1033">
      <c r="A1033" s="38" t="s">
        <v>2107</v>
      </c>
      <c r="B1033" s="39" t="s">
        <v>2108</v>
      </c>
    </row>
    <row r="1034">
      <c r="A1034" s="38" t="s">
        <v>2109</v>
      </c>
      <c r="B1034" s="39" t="s">
        <v>2110</v>
      </c>
    </row>
    <row r="1035">
      <c r="A1035" s="38" t="s">
        <v>2111</v>
      </c>
      <c r="B1035" s="39" t="s">
        <v>2112</v>
      </c>
    </row>
    <row r="1036">
      <c r="A1036" s="38" t="s">
        <v>2113</v>
      </c>
      <c r="B1036" s="39" t="s">
        <v>2114</v>
      </c>
    </row>
    <row r="1037">
      <c r="A1037" s="38" t="s">
        <v>2115</v>
      </c>
      <c r="B1037" s="39" t="s">
        <v>2116</v>
      </c>
    </row>
    <row r="1038">
      <c r="A1038" s="38" t="s">
        <v>2117</v>
      </c>
      <c r="B1038" s="39" t="s">
        <v>2118</v>
      </c>
    </row>
    <row r="1039">
      <c r="A1039" s="38" t="s">
        <v>2119</v>
      </c>
      <c r="B1039" s="39" t="s">
        <v>2120</v>
      </c>
    </row>
    <row r="1040">
      <c r="A1040" s="38" t="s">
        <v>2121</v>
      </c>
      <c r="B1040" s="39" t="s">
        <v>2122</v>
      </c>
    </row>
    <row r="1041">
      <c r="A1041" s="38" t="s">
        <v>2123</v>
      </c>
      <c r="B1041" s="39" t="s">
        <v>2124</v>
      </c>
    </row>
    <row r="1042">
      <c r="A1042" s="38" t="s">
        <v>2125</v>
      </c>
      <c r="B1042" s="39" t="s">
        <v>2126</v>
      </c>
    </row>
    <row r="1043">
      <c r="A1043" s="38" t="s">
        <v>2127</v>
      </c>
      <c r="B1043" s="43" t="s">
        <v>2128</v>
      </c>
    </row>
    <row r="1044">
      <c r="A1044" s="38" t="s">
        <v>2129</v>
      </c>
      <c r="B1044" s="39" t="s">
        <v>2130</v>
      </c>
    </row>
    <row r="1045">
      <c r="A1045" s="38" t="s">
        <v>2131</v>
      </c>
      <c r="B1045" s="39" t="s">
        <v>2132</v>
      </c>
    </row>
    <row r="1046">
      <c r="A1046" s="38" t="s">
        <v>2133</v>
      </c>
      <c r="B1046" s="39" t="s">
        <v>2134</v>
      </c>
    </row>
    <row r="1047">
      <c r="A1047" s="38" t="s">
        <v>2135</v>
      </c>
      <c r="B1047" s="39" t="s">
        <v>2136</v>
      </c>
    </row>
    <row r="1048">
      <c r="A1048" s="38" t="s">
        <v>2137</v>
      </c>
      <c r="B1048" s="39" t="s">
        <v>2138</v>
      </c>
    </row>
    <row r="1049">
      <c r="A1049" s="38" t="s">
        <v>2139</v>
      </c>
      <c r="B1049" s="39" t="s">
        <v>2140</v>
      </c>
    </row>
    <row r="1050">
      <c r="A1050" s="38" t="s">
        <v>2141</v>
      </c>
      <c r="B1050" s="39" t="s">
        <v>2142</v>
      </c>
    </row>
    <row r="1051">
      <c r="A1051" s="38" t="s">
        <v>2143</v>
      </c>
      <c r="B1051" s="39" t="s">
        <v>2144</v>
      </c>
    </row>
    <row r="1052">
      <c r="A1052" s="38" t="s">
        <v>2145</v>
      </c>
      <c r="B1052" s="39" t="s">
        <v>2146</v>
      </c>
    </row>
    <row r="1053">
      <c r="A1053" s="38" t="s">
        <v>2147</v>
      </c>
      <c r="B1053" s="51" t="s">
        <v>2148</v>
      </c>
    </row>
    <row r="1054">
      <c r="A1054" s="38" t="s">
        <v>2149</v>
      </c>
      <c r="B1054" s="39" t="s">
        <v>2150</v>
      </c>
    </row>
    <row r="1055">
      <c r="A1055" s="38" t="s">
        <v>2151</v>
      </c>
      <c r="B1055" s="39" t="s">
        <v>2152</v>
      </c>
    </row>
    <row r="1056">
      <c r="A1056" s="38" t="s">
        <v>2153</v>
      </c>
      <c r="B1056" s="39" t="s">
        <v>2154</v>
      </c>
    </row>
    <row r="1057">
      <c r="A1057" s="38" t="s">
        <v>2155</v>
      </c>
      <c r="B1057" s="39" t="s">
        <v>2156</v>
      </c>
    </row>
    <row r="1058">
      <c r="A1058" s="38" t="s">
        <v>2157</v>
      </c>
      <c r="B1058" s="39" t="s">
        <v>2158</v>
      </c>
    </row>
    <row r="1059">
      <c r="A1059" s="38" t="s">
        <v>2159</v>
      </c>
      <c r="B1059" s="39" t="s">
        <v>2160</v>
      </c>
    </row>
    <row r="1060">
      <c r="A1060" s="38" t="s">
        <v>2161</v>
      </c>
      <c r="B1060" s="39" t="s">
        <v>2162</v>
      </c>
    </row>
    <row r="1061">
      <c r="A1061" s="38" t="s">
        <v>2163</v>
      </c>
      <c r="B1061" s="39" t="s">
        <v>2164</v>
      </c>
    </row>
    <row r="1062">
      <c r="A1062" s="38" t="s">
        <v>2165</v>
      </c>
      <c r="B1062" s="39" t="s">
        <v>2166</v>
      </c>
    </row>
    <row r="1063">
      <c r="A1063" s="38" t="s">
        <v>2167</v>
      </c>
      <c r="B1063" s="39" t="s">
        <v>2168</v>
      </c>
    </row>
    <row r="1064">
      <c r="A1064" s="38" t="s">
        <v>2169</v>
      </c>
      <c r="B1064" s="39" t="s">
        <v>2170</v>
      </c>
    </row>
    <row r="1065">
      <c r="A1065" s="38" t="s">
        <v>2171</v>
      </c>
      <c r="B1065" s="39" t="s">
        <v>2172</v>
      </c>
    </row>
    <row r="1066">
      <c r="A1066" s="38" t="s">
        <v>2173</v>
      </c>
      <c r="B1066" s="39" t="s">
        <v>2174</v>
      </c>
    </row>
    <row r="1067">
      <c r="A1067" s="38" t="s">
        <v>2175</v>
      </c>
      <c r="B1067" s="39" t="s">
        <v>2176</v>
      </c>
    </row>
    <row r="1068">
      <c r="A1068" s="38" t="s">
        <v>2177</v>
      </c>
      <c r="B1068" s="39" t="s">
        <v>2178</v>
      </c>
    </row>
    <row r="1069">
      <c r="A1069" s="38" t="s">
        <v>2179</v>
      </c>
      <c r="B1069" s="39" t="s">
        <v>2180</v>
      </c>
    </row>
    <row r="1070">
      <c r="A1070" s="38" t="s">
        <v>2181</v>
      </c>
      <c r="B1070" s="39" t="s">
        <v>2182</v>
      </c>
    </row>
    <row r="1071">
      <c r="A1071" s="38" t="s">
        <v>2183</v>
      </c>
      <c r="B1071" s="39" t="s">
        <v>2184</v>
      </c>
    </row>
    <row r="1072">
      <c r="A1072" s="38" t="s">
        <v>2185</v>
      </c>
      <c r="B1072" s="39" t="s">
        <v>2186</v>
      </c>
    </row>
    <row r="1073">
      <c r="A1073" s="38" t="s">
        <v>2187</v>
      </c>
      <c r="B1073" s="39" t="s">
        <v>2188</v>
      </c>
    </row>
    <row r="1074">
      <c r="A1074" s="38" t="s">
        <v>2189</v>
      </c>
      <c r="B1074" s="39" t="s">
        <v>2190</v>
      </c>
    </row>
    <row r="1075">
      <c r="A1075" s="38" t="s">
        <v>2191</v>
      </c>
      <c r="B1075" s="39" t="s">
        <v>2192</v>
      </c>
    </row>
    <row r="1076">
      <c r="A1076" s="38" t="s">
        <v>2193</v>
      </c>
      <c r="B1076" s="39" t="s">
        <v>2194</v>
      </c>
    </row>
    <row r="1077">
      <c r="A1077" s="38" t="s">
        <v>2195</v>
      </c>
      <c r="B1077" s="39" t="s">
        <v>2196</v>
      </c>
    </row>
    <row r="1078">
      <c r="A1078" s="38" t="s">
        <v>2197</v>
      </c>
      <c r="B1078" s="39" t="s">
        <v>2198</v>
      </c>
    </row>
    <row r="1079">
      <c r="A1079" s="38" t="s">
        <v>2199</v>
      </c>
      <c r="B1079" s="39" t="s">
        <v>2200</v>
      </c>
    </row>
    <row r="1080">
      <c r="A1080" s="38" t="s">
        <v>2201</v>
      </c>
      <c r="B1080" s="39" t="s">
        <v>2202</v>
      </c>
    </row>
    <row r="1081">
      <c r="A1081" s="38" t="s">
        <v>2203</v>
      </c>
      <c r="B1081" s="39" t="s">
        <v>2204</v>
      </c>
    </row>
    <row r="1082">
      <c r="A1082" s="38" t="s">
        <v>2205</v>
      </c>
      <c r="B1082" s="39" t="s">
        <v>2206</v>
      </c>
    </row>
    <row r="1083">
      <c r="A1083" s="38" t="s">
        <v>2207</v>
      </c>
      <c r="B1083" s="39" t="s">
        <v>2208</v>
      </c>
    </row>
    <row r="1084">
      <c r="A1084" s="38" t="s">
        <v>2209</v>
      </c>
      <c r="B1084" s="39" t="s">
        <v>2210</v>
      </c>
    </row>
    <row r="1085">
      <c r="A1085" s="38" t="s">
        <v>2211</v>
      </c>
      <c r="B1085" s="39" t="s">
        <v>2212</v>
      </c>
    </row>
    <row r="1086">
      <c r="A1086" s="38" t="s">
        <v>2213</v>
      </c>
      <c r="B1086" s="39" t="s">
        <v>2214</v>
      </c>
    </row>
    <row r="1087">
      <c r="A1087" s="38" t="s">
        <v>2215</v>
      </c>
      <c r="B1087" s="39" t="s">
        <v>2216</v>
      </c>
    </row>
    <row r="1088">
      <c r="A1088" s="38" t="s">
        <v>2217</v>
      </c>
      <c r="B1088" s="39" t="s">
        <v>2218</v>
      </c>
    </row>
    <row r="1089">
      <c r="A1089" s="38" t="s">
        <v>2219</v>
      </c>
      <c r="B1089" s="39" t="s">
        <v>2220</v>
      </c>
    </row>
    <row r="1090">
      <c r="A1090" s="38" t="s">
        <v>2221</v>
      </c>
      <c r="B1090" s="39" t="s">
        <v>2222</v>
      </c>
    </row>
    <row r="1091">
      <c r="A1091" s="38" t="s">
        <v>2223</v>
      </c>
      <c r="B1091" s="39" t="s">
        <v>2224</v>
      </c>
    </row>
    <row r="1092">
      <c r="A1092" s="38" t="s">
        <v>2225</v>
      </c>
      <c r="B1092" s="39" t="s">
        <v>2226</v>
      </c>
    </row>
    <row r="1093">
      <c r="A1093" s="38" t="s">
        <v>2227</v>
      </c>
      <c r="B1093" s="39" t="s">
        <v>2228</v>
      </c>
    </row>
    <row r="1094">
      <c r="A1094" s="38" t="s">
        <v>2229</v>
      </c>
      <c r="B1094" s="39" t="s">
        <v>2230</v>
      </c>
    </row>
    <row r="1095">
      <c r="A1095" s="38" t="s">
        <v>2231</v>
      </c>
      <c r="B1095" s="39" t="s">
        <v>2232</v>
      </c>
    </row>
    <row r="1096">
      <c r="A1096" s="38" t="s">
        <v>2233</v>
      </c>
      <c r="B1096" s="39" t="s">
        <v>2234</v>
      </c>
    </row>
    <row r="1097">
      <c r="A1097" s="38" t="s">
        <v>2235</v>
      </c>
      <c r="B1097" s="39" t="s">
        <v>2236</v>
      </c>
    </row>
    <row r="1098">
      <c r="A1098" s="38" t="s">
        <v>2237</v>
      </c>
      <c r="B1098" s="39" t="s">
        <v>2238</v>
      </c>
    </row>
    <row r="1099">
      <c r="A1099" s="38" t="s">
        <v>2239</v>
      </c>
      <c r="B1099" s="39" t="s">
        <v>2240</v>
      </c>
    </row>
    <row r="1100">
      <c r="A1100" s="40" t="s">
        <v>2241</v>
      </c>
      <c r="B1100" s="41" t="s">
        <v>2242</v>
      </c>
    </row>
    <row r="1101">
      <c r="A1101" s="38" t="s">
        <v>2243</v>
      </c>
      <c r="B1101" s="39" t="s">
        <v>2244</v>
      </c>
    </row>
    <row r="1102">
      <c r="A1102" s="38" t="s">
        <v>2245</v>
      </c>
      <c r="B1102" s="39" t="s">
        <v>2246</v>
      </c>
    </row>
    <row r="1103">
      <c r="A1103" s="38" t="s">
        <v>2247</v>
      </c>
      <c r="B1103" s="39" t="s">
        <v>2248</v>
      </c>
    </row>
    <row r="1104">
      <c r="A1104" s="38" t="s">
        <v>2249</v>
      </c>
      <c r="B1104" s="43" t="s">
        <v>2250</v>
      </c>
    </row>
    <row r="1105">
      <c r="A1105" s="38" t="s">
        <v>2251</v>
      </c>
      <c r="B1105" s="39" t="s">
        <v>2252</v>
      </c>
    </row>
    <row r="1106">
      <c r="A1106" s="38" t="s">
        <v>2253</v>
      </c>
      <c r="B1106" s="43" t="s">
        <v>2254</v>
      </c>
    </row>
    <row r="1107">
      <c r="A1107" s="38" t="s">
        <v>2255</v>
      </c>
      <c r="B1107" s="39" t="s">
        <v>2256</v>
      </c>
    </row>
    <row r="1108">
      <c r="A1108" s="38" t="s">
        <v>2257</v>
      </c>
      <c r="B1108" s="39" t="s">
        <v>2258</v>
      </c>
    </row>
    <row r="1109">
      <c r="A1109" s="38" t="s">
        <v>2259</v>
      </c>
      <c r="B1109" s="39" t="s">
        <v>2260</v>
      </c>
    </row>
    <row r="1110">
      <c r="A1110" s="38" t="s">
        <v>2261</v>
      </c>
      <c r="B1110" s="39" t="s">
        <v>2262</v>
      </c>
    </row>
    <row r="1111">
      <c r="A1111" s="38" t="s">
        <v>2263</v>
      </c>
      <c r="B1111" s="39" t="s">
        <v>2264</v>
      </c>
    </row>
    <row r="1112">
      <c r="A1112" s="38" t="s">
        <v>2265</v>
      </c>
      <c r="B1112" s="39" t="s">
        <v>2266</v>
      </c>
    </row>
    <row r="1113">
      <c r="A1113" s="38" t="s">
        <v>2267</v>
      </c>
      <c r="B1113" s="39" t="s">
        <v>2268</v>
      </c>
    </row>
    <row r="1114">
      <c r="A1114" s="38" t="s">
        <v>2269</v>
      </c>
      <c r="B1114" s="39" t="s">
        <v>2270</v>
      </c>
    </row>
    <row r="1115">
      <c r="A1115" s="38" t="s">
        <v>2271</v>
      </c>
      <c r="B1115" s="39" t="s">
        <v>2272</v>
      </c>
    </row>
    <row r="1116">
      <c r="A1116" s="38" t="s">
        <v>2273</v>
      </c>
      <c r="B1116" s="39" t="s">
        <v>2274</v>
      </c>
    </row>
    <row r="1117">
      <c r="A1117" s="38" t="s">
        <v>2275</v>
      </c>
      <c r="B1117" s="39" t="s">
        <v>2276</v>
      </c>
    </row>
    <row r="1118">
      <c r="A1118" s="38" t="s">
        <v>2277</v>
      </c>
      <c r="B1118" s="39" t="s">
        <v>2278</v>
      </c>
    </row>
    <row r="1119">
      <c r="A1119" s="38" t="s">
        <v>2279</v>
      </c>
      <c r="B1119" s="39" t="s">
        <v>2280</v>
      </c>
    </row>
    <row r="1120">
      <c r="A1120" s="38" t="s">
        <v>2281</v>
      </c>
      <c r="B1120" s="39" t="s">
        <v>2282</v>
      </c>
    </row>
    <row r="1121">
      <c r="A1121" s="38" t="s">
        <v>2283</v>
      </c>
      <c r="B1121" s="39" t="s">
        <v>2284</v>
      </c>
    </row>
    <row r="1122">
      <c r="A1122" s="38" t="s">
        <v>2285</v>
      </c>
      <c r="B1122" s="39" t="s">
        <v>2286</v>
      </c>
    </row>
    <row r="1123">
      <c r="A1123" s="38" t="s">
        <v>2287</v>
      </c>
      <c r="B1123" s="39" t="s">
        <v>2288</v>
      </c>
    </row>
    <row r="1124">
      <c r="A1124" s="38" t="s">
        <v>2289</v>
      </c>
      <c r="B1124" s="39" t="s">
        <v>2290</v>
      </c>
    </row>
    <row r="1125">
      <c r="A1125" s="38" t="s">
        <v>2291</v>
      </c>
      <c r="B1125" s="39" t="s">
        <v>2292</v>
      </c>
    </row>
    <row r="1126">
      <c r="A1126" s="38" t="s">
        <v>2293</v>
      </c>
      <c r="B1126" s="39" t="s">
        <v>2294</v>
      </c>
    </row>
    <row r="1127">
      <c r="A1127" s="38" t="s">
        <v>2295</v>
      </c>
      <c r="B1127" s="39" t="s">
        <v>2296</v>
      </c>
    </row>
    <row r="1128">
      <c r="A1128" s="38" t="s">
        <v>2297</v>
      </c>
      <c r="B1128" s="39" t="s">
        <v>2298</v>
      </c>
    </row>
    <row r="1129">
      <c r="A1129" s="38" t="s">
        <v>2299</v>
      </c>
      <c r="B1129" s="39" t="s">
        <v>2300</v>
      </c>
    </row>
    <row r="1130">
      <c r="A1130" s="38" t="s">
        <v>2301</v>
      </c>
      <c r="B1130" s="39" t="s">
        <v>2302</v>
      </c>
    </row>
    <row r="1131">
      <c r="A1131" s="38" t="s">
        <v>2303</v>
      </c>
      <c r="B1131" s="39" t="s">
        <v>2304</v>
      </c>
    </row>
    <row r="1132">
      <c r="A1132" s="38" t="s">
        <v>23</v>
      </c>
      <c r="B1132" s="39" t="s">
        <v>24</v>
      </c>
    </row>
    <row r="1133">
      <c r="A1133" s="38" t="s">
        <v>2305</v>
      </c>
      <c r="B1133" s="39" t="s">
        <v>2306</v>
      </c>
    </row>
    <row r="1134">
      <c r="A1134" s="38" t="s">
        <v>2307</v>
      </c>
      <c r="B1134" s="39" t="s">
        <v>2308</v>
      </c>
    </row>
    <row r="1135">
      <c r="A1135" s="38" t="s">
        <v>2309</v>
      </c>
      <c r="B1135" s="39" t="s">
        <v>2310</v>
      </c>
    </row>
    <row r="1136">
      <c r="A1136" s="38" t="s">
        <v>2311</v>
      </c>
      <c r="B1136" s="39" t="s">
        <v>2312</v>
      </c>
    </row>
    <row r="1137">
      <c r="A1137" s="38" t="s">
        <v>2313</v>
      </c>
      <c r="B1137" s="39" t="s">
        <v>2314</v>
      </c>
    </row>
    <row r="1138">
      <c r="A1138" s="38" t="s">
        <v>2315</v>
      </c>
      <c r="B1138" s="39" t="s">
        <v>2316</v>
      </c>
    </row>
    <row r="1139">
      <c r="A1139" s="38" t="s">
        <v>2317</v>
      </c>
      <c r="B1139" s="39" t="s">
        <v>2318</v>
      </c>
    </row>
    <row r="1140">
      <c r="A1140" s="38" t="s">
        <v>2319</v>
      </c>
      <c r="B1140" s="39" t="s">
        <v>2320</v>
      </c>
    </row>
    <row r="1141">
      <c r="A1141" s="38" t="s">
        <v>2321</v>
      </c>
      <c r="B1141" s="39" t="s">
        <v>2322</v>
      </c>
    </row>
    <row r="1142">
      <c r="A1142" s="38" t="s">
        <v>2323</v>
      </c>
      <c r="B1142" s="39" t="s">
        <v>2324</v>
      </c>
    </row>
    <row r="1143">
      <c r="A1143" s="38" t="s">
        <v>2325</v>
      </c>
      <c r="B1143" s="39" t="s">
        <v>2326</v>
      </c>
    </row>
    <row r="1144">
      <c r="A1144" s="38" t="s">
        <v>2327</v>
      </c>
      <c r="B1144" s="39" t="s">
        <v>2328</v>
      </c>
    </row>
    <row r="1145">
      <c r="A1145" s="38" t="s">
        <v>2329</v>
      </c>
      <c r="B1145" s="39" t="s">
        <v>2330</v>
      </c>
    </row>
    <row r="1146">
      <c r="A1146" s="38" t="s">
        <v>2331</v>
      </c>
      <c r="B1146" s="39" t="s">
        <v>2332</v>
      </c>
    </row>
    <row r="1147">
      <c r="A1147" s="38" t="s">
        <v>2333</v>
      </c>
      <c r="B1147" s="39" t="s">
        <v>2334</v>
      </c>
    </row>
    <row r="1148">
      <c r="A1148" s="38" t="s">
        <v>2335</v>
      </c>
      <c r="B1148" s="39" t="s">
        <v>2336</v>
      </c>
    </row>
    <row r="1149">
      <c r="A1149" s="38" t="s">
        <v>2337</v>
      </c>
      <c r="B1149" s="39" t="s">
        <v>2338</v>
      </c>
    </row>
    <row r="1150">
      <c r="A1150" s="38" t="s">
        <v>2339</v>
      </c>
      <c r="B1150" s="39" t="s">
        <v>2340</v>
      </c>
    </row>
    <row r="1151">
      <c r="A1151" s="38" t="s">
        <v>2341</v>
      </c>
      <c r="B1151" s="39" t="s">
        <v>2342</v>
      </c>
    </row>
    <row r="1152">
      <c r="A1152" s="38" t="s">
        <v>2343</v>
      </c>
      <c r="B1152" s="39" t="s">
        <v>2344</v>
      </c>
    </row>
    <row r="1153">
      <c r="A1153" s="38" t="s">
        <v>2345</v>
      </c>
      <c r="B1153" s="39" t="s">
        <v>2346</v>
      </c>
    </row>
    <row r="1154">
      <c r="A1154" s="38" t="s">
        <v>2347</v>
      </c>
      <c r="B1154" s="39" t="s">
        <v>2348</v>
      </c>
    </row>
    <row r="1155">
      <c r="A1155" s="38" t="s">
        <v>2349</v>
      </c>
      <c r="B1155" s="39" t="s">
        <v>2350</v>
      </c>
    </row>
    <row r="1156">
      <c r="A1156" s="38" t="s">
        <v>2351</v>
      </c>
      <c r="B1156" s="39" t="s">
        <v>2352</v>
      </c>
    </row>
    <row r="1157">
      <c r="A1157" s="38" t="s">
        <v>2353</v>
      </c>
      <c r="B1157" s="39" t="s">
        <v>2354</v>
      </c>
    </row>
    <row r="1158">
      <c r="A1158" s="38" t="s">
        <v>2355</v>
      </c>
      <c r="B1158" s="39" t="s">
        <v>2356</v>
      </c>
    </row>
    <row r="1159">
      <c r="A1159" s="38" t="s">
        <v>2357</v>
      </c>
      <c r="B1159" s="39" t="s">
        <v>2358</v>
      </c>
    </row>
    <row r="1160">
      <c r="A1160" s="38" t="s">
        <v>2359</v>
      </c>
      <c r="B1160" s="39" t="s">
        <v>2360</v>
      </c>
    </row>
    <row r="1161">
      <c r="A1161" s="38" t="s">
        <v>2361</v>
      </c>
      <c r="B1161" s="39" t="s">
        <v>2362</v>
      </c>
    </row>
    <row r="1162">
      <c r="A1162" s="38" t="s">
        <v>2363</v>
      </c>
      <c r="B1162" s="39" t="s">
        <v>2364</v>
      </c>
    </row>
    <row r="1163">
      <c r="A1163" s="38" t="s">
        <v>2365</v>
      </c>
      <c r="B1163" s="39" t="s">
        <v>2366</v>
      </c>
    </row>
    <row r="1164">
      <c r="A1164" s="38" t="s">
        <v>2367</v>
      </c>
      <c r="B1164" s="39" t="s">
        <v>2368</v>
      </c>
    </row>
    <row r="1165">
      <c r="A1165" s="38" t="s">
        <v>2369</v>
      </c>
      <c r="B1165" s="39" t="s">
        <v>2370</v>
      </c>
    </row>
    <row r="1166">
      <c r="A1166" s="38" t="s">
        <v>2371</v>
      </c>
      <c r="B1166" s="39" t="s">
        <v>2372</v>
      </c>
    </row>
    <row r="1167">
      <c r="A1167" s="38" t="s">
        <v>2373</v>
      </c>
      <c r="B1167" s="39" t="s">
        <v>2374</v>
      </c>
    </row>
    <row r="1168">
      <c r="A1168" s="38" t="s">
        <v>2375</v>
      </c>
      <c r="B1168" s="39" t="s">
        <v>2376</v>
      </c>
    </row>
    <row r="1169">
      <c r="A1169" s="38" t="s">
        <v>2377</v>
      </c>
      <c r="B1169" s="39" t="s">
        <v>2378</v>
      </c>
    </row>
    <row r="1170">
      <c r="A1170" s="38" t="s">
        <v>2379</v>
      </c>
      <c r="B1170" s="39" t="s">
        <v>2380</v>
      </c>
    </row>
    <row r="1171">
      <c r="A1171" s="38" t="s">
        <v>2381</v>
      </c>
      <c r="B1171" s="39" t="s">
        <v>2382</v>
      </c>
    </row>
    <row r="1172">
      <c r="A1172" s="38" t="s">
        <v>2383</v>
      </c>
      <c r="B1172" s="39" t="s">
        <v>2384</v>
      </c>
    </row>
    <row r="1173">
      <c r="A1173" s="38" t="s">
        <v>2385</v>
      </c>
      <c r="B1173" s="39" t="s">
        <v>2386</v>
      </c>
    </row>
    <row r="1174">
      <c r="A1174" s="38" t="s">
        <v>2387</v>
      </c>
      <c r="B1174" s="39" t="s">
        <v>2388</v>
      </c>
    </row>
    <row r="1175">
      <c r="A1175" s="40" t="s">
        <v>2389</v>
      </c>
      <c r="B1175" s="41" t="s">
        <v>2390</v>
      </c>
    </row>
    <row r="1176">
      <c r="A1176" s="38" t="s">
        <v>2391</v>
      </c>
      <c r="B1176" s="39" t="s">
        <v>2392</v>
      </c>
    </row>
    <row r="1177">
      <c r="A1177" s="38" t="s">
        <v>2393</v>
      </c>
      <c r="B1177" s="39" t="s">
        <v>2394</v>
      </c>
    </row>
    <row r="1178">
      <c r="A1178" s="38" t="s">
        <v>2395</v>
      </c>
      <c r="B1178" s="39" t="s">
        <v>2396</v>
      </c>
    </row>
    <row r="1179">
      <c r="A1179" s="38" t="s">
        <v>2397</v>
      </c>
      <c r="B1179" s="39" t="s">
        <v>2398</v>
      </c>
    </row>
    <row r="1180">
      <c r="A1180" s="38" t="s">
        <v>2399</v>
      </c>
      <c r="B1180" s="39" t="s">
        <v>2400</v>
      </c>
    </row>
    <row r="1181">
      <c r="A1181" s="38" t="s">
        <v>2401</v>
      </c>
      <c r="B1181" s="43" t="s">
        <v>2402</v>
      </c>
    </row>
    <row r="1182">
      <c r="A1182" s="38" t="s">
        <v>2403</v>
      </c>
      <c r="B1182" s="39" t="s">
        <v>2404</v>
      </c>
    </row>
    <row r="1183">
      <c r="A1183" s="38" t="s">
        <v>2405</v>
      </c>
      <c r="B1183" s="39" t="s">
        <v>2406</v>
      </c>
    </row>
    <row r="1184">
      <c r="A1184" s="38" t="s">
        <v>2407</v>
      </c>
      <c r="B1184" s="39" t="s">
        <v>2408</v>
      </c>
    </row>
    <row r="1185">
      <c r="A1185" s="38" t="s">
        <v>2409</v>
      </c>
      <c r="B1185" s="39" t="s">
        <v>2410</v>
      </c>
    </row>
    <row r="1186">
      <c r="A1186" s="38" t="s">
        <v>2411</v>
      </c>
      <c r="B1186" s="39" t="s">
        <v>2412</v>
      </c>
    </row>
    <row r="1187">
      <c r="A1187" s="38" t="s">
        <v>2413</v>
      </c>
      <c r="B1187" s="39" t="s">
        <v>2414</v>
      </c>
    </row>
    <row r="1188">
      <c r="A1188" s="38" t="s">
        <v>2415</v>
      </c>
      <c r="B1188" s="39" t="s">
        <v>2416</v>
      </c>
    </row>
    <row r="1189">
      <c r="A1189" s="38" t="s">
        <v>2417</v>
      </c>
      <c r="B1189" s="39" t="s">
        <v>2418</v>
      </c>
    </row>
    <row r="1190">
      <c r="A1190" s="38" t="s">
        <v>2419</v>
      </c>
      <c r="B1190" s="39" t="s">
        <v>2420</v>
      </c>
    </row>
    <row r="1191">
      <c r="A1191" s="38" t="s">
        <v>2421</v>
      </c>
      <c r="B1191" s="39" t="s">
        <v>2422</v>
      </c>
    </row>
    <row r="1192">
      <c r="A1192" s="38" t="s">
        <v>2423</v>
      </c>
      <c r="B1192" s="39" t="s">
        <v>2406</v>
      </c>
    </row>
    <row r="1193">
      <c r="A1193" s="38" t="s">
        <v>2424</v>
      </c>
      <c r="B1193" s="39" t="s">
        <v>2425</v>
      </c>
    </row>
    <row r="1194">
      <c r="A1194" s="38" t="s">
        <v>2426</v>
      </c>
      <c r="B1194" s="39" t="s">
        <v>2427</v>
      </c>
    </row>
    <row r="1195">
      <c r="A1195" s="38" t="s">
        <v>2428</v>
      </c>
      <c r="B1195" s="39" t="s">
        <v>2429</v>
      </c>
    </row>
    <row r="1196">
      <c r="A1196" s="38" t="s">
        <v>2430</v>
      </c>
      <c r="B1196" s="39" t="s">
        <v>2431</v>
      </c>
    </row>
    <row r="1197">
      <c r="A1197" s="38" t="s">
        <v>2432</v>
      </c>
      <c r="B1197" s="39" t="s">
        <v>2433</v>
      </c>
    </row>
    <row r="1198">
      <c r="A1198" s="38" t="s">
        <v>2434</v>
      </c>
      <c r="B1198" s="39" t="s">
        <v>2435</v>
      </c>
    </row>
    <row r="1199">
      <c r="A1199" s="38" t="s">
        <v>2436</v>
      </c>
      <c r="B1199" s="39" t="s">
        <v>2437</v>
      </c>
    </row>
    <row r="1200">
      <c r="A1200" s="38" t="s">
        <v>2438</v>
      </c>
      <c r="B1200" s="39" t="s">
        <v>2439</v>
      </c>
    </row>
    <row r="1201">
      <c r="A1201" s="38" t="s">
        <v>2440</v>
      </c>
      <c r="B1201" s="39" t="s">
        <v>2441</v>
      </c>
    </row>
    <row r="1202">
      <c r="A1202" s="38" t="s">
        <v>2442</v>
      </c>
      <c r="B1202" s="39" t="s">
        <v>2443</v>
      </c>
    </row>
    <row r="1203">
      <c r="A1203" s="38" t="s">
        <v>2444</v>
      </c>
      <c r="B1203" s="39" t="s">
        <v>2445</v>
      </c>
    </row>
    <row r="1204">
      <c r="A1204" s="38" t="s">
        <v>2446</v>
      </c>
      <c r="B1204" s="39" t="s">
        <v>2447</v>
      </c>
    </row>
    <row r="1205">
      <c r="A1205" s="38" t="s">
        <v>2448</v>
      </c>
      <c r="B1205" s="39" t="s">
        <v>2449</v>
      </c>
    </row>
    <row r="1206">
      <c r="A1206" s="38" t="s">
        <v>2450</v>
      </c>
      <c r="B1206" s="39" t="s">
        <v>2451</v>
      </c>
    </row>
    <row r="1207">
      <c r="A1207" s="38" t="s">
        <v>2452</v>
      </c>
      <c r="B1207" s="39" t="s">
        <v>2453</v>
      </c>
    </row>
    <row r="1208">
      <c r="A1208" s="38" t="s">
        <v>2454</v>
      </c>
      <c r="B1208" s="39" t="s">
        <v>2455</v>
      </c>
    </row>
    <row r="1209">
      <c r="A1209" s="38" t="s">
        <v>2456</v>
      </c>
      <c r="B1209" s="39" t="s">
        <v>2457</v>
      </c>
    </row>
    <row r="1210">
      <c r="A1210" s="38" t="s">
        <v>2458</v>
      </c>
      <c r="B1210" s="39" t="s">
        <v>2459</v>
      </c>
    </row>
    <row r="1211">
      <c r="A1211" s="38" t="s">
        <v>2460</v>
      </c>
      <c r="B1211" s="39" t="s">
        <v>2461</v>
      </c>
    </row>
    <row r="1212">
      <c r="A1212" s="38" t="s">
        <v>2462</v>
      </c>
      <c r="B1212" s="39" t="s">
        <v>2463</v>
      </c>
    </row>
    <row r="1213">
      <c r="A1213" s="38" t="s">
        <v>2464</v>
      </c>
      <c r="B1213" s="39" t="s">
        <v>2465</v>
      </c>
    </row>
    <row r="1214">
      <c r="A1214" s="38" t="s">
        <v>2466</v>
      </c>
      <c r="B1214" s="39" t="s">
        <v>2467</v>
      </c>
    </row>
    <row r="1215">
      <c r="A1215" s="38" t="s">
        <v>2468</v>
      </c>
      <c r="B1215" s="39" t="s">
        <v>2469</v>
      </c>
    </row>
    <row r="1216">
      <c r="A1216" s="38" t="s">
        <v>2470</v>
      </c>
      <c r="B1216" s="39" t="s">
        <v>2471</v>
      </c>
    </row>
    <row r="1217">
      <c r="A1217" s="38" t="s">
        <v>2472</v>
      </c>
      <c r="B1217" s="39" t="s">
        <v>2473</v>
      </c>
    </row>
    <row r="1218">
      <c r="A1218" s="38" t="s">
        <v>2474</v>
      </c>
      <c r="B1218" s="39" t="s">
        <v>2475</v>
      </c>
    </row>
    <row r="1219">
      <c r="A1219" s="38" t="s">
        <v>2476</v>
      </c>
      <c r="B1219" s="39" t="s">
        <v>2477</v>
      </c>
    </row>
    <row r="1220">
      <c r="A1220" s="38" t="s">
        <v>2478</v>
      </c>
      <c r="B1220" s="39" t="s">
        <v>2479</v>
      </c>
    </row>
    <row r="1221">
      <c r="A1221" s="38" t="s">
        <v>2480</v>
      </c>
      <c r="B1221" s="39" t="s">
        <v>2481</v>
      </c>
    </row>
    <row r="1222">
      <c r="A1222" s="38" t="s">
        <v>2482</v>
      </c>
      <c r="B1222" s="39" t="s">
        <v>2483</v>
      </c>
    </row>
    <row r="1223">
      <c r="A1223" s="38" t="s">
        <v>2484</v>
      </c>
      <c r="B1223" s="39" t="s">
        <v>2485</v>
      </c>
    </row>
    <row r="1224">
      <c r="A1224" s="38" t="s">
        <v>2486</v>
      </c>
      <c r="B1224" s="39" t="s">
        <v>2487</v>
      </c>
    </row>
    <row r="1225">
      <c r="A1225" s="38" t="s">
        <v>2488</v>
      </c>
      <c r="B1225" s="39" t="s">
        <v>2489</v>
      </c>
    </row>
    <row r="1226">
      <c r="A1226" s="38" t="s">
        <v>2490</v>
      </c>
      <c r="B1226" s="39" t="s">
        <v>2491</v>
      </c>
    </row>
    <row r="1227">
      <c r="A1227" s="38" t="s">
        <v>2492</v>
      </c>
      <c r="B1227" s="39" t="s">
        <v>2493</v>
      </c>
    </row>
    <row r="1228">
      <c r="A1228" s="38" t="s">
        <v>2494</v>
      </c>
      <c r="B1228" s="39" t="s">
        <v>2495</v>
      </c>
    </row>
    <row r="1229">
      <c r="A1229" s="38" t="s">
        <v>2496</v>
      </c>
      <c r="B1229" s="44" t="s">
        <v>2497</v>
      </c>
    </row>
    <row r="1230">
      <c r="A1230" s="38" t="s">
        <v>2498</v>
      </c>
      <c r="B1230" s="39" t="s">
        <v>2499</v>
      </c>
    </row>
    <row r="1231">
      <c r="A1231" s="38" t="s">
        <v>2500</v>
      </c>
      <c r="B1231" s="39" t="s">
        <v>2501</v>
      </c>
    </row>
    <row r="1232">
      <c r="A1232" s="38" t="s">
        <v>2502</v>
      </c>
      <c r="B1232" s="39" t="s">
        <v>2503</v>
      </c>
    </row>
    <row r="1233">
      <c r="A1233" s="38" t="s">
        <v>2504</v>
      </c>
      <c r="B1233" s="39" t="s">
        <v>2505</v>
      </c>
    </row>
    <row r="1234">
      <c r="A1234" s="38" t="s">
        <v>2506</v>
      </c>
      <c r="B1234" s="39" t="s">
        <v>2507</v>
      </c>
    </row>
    <row r="1235">
      <c r="A1235" s="38" t="s">
        <v>2508</v>
      </c>
      <c r="B1235" s="39" t="s">
        <v>2509</v>
      </c>
    </row>
    <row r="1236">
      <c r="A1236" s="38" t="s">
        <v>2510</v>
      </c>
      <c r="B1236" s="39" t="s">
        <v>2511</v>
      </c>
    </row>
    <row r="1237">
      <c r="A1237" s="38" t="s">
        <v>2512</v>
      </c>
      <c r="B1237" s="39" t="s">
        <v>2513</v>
      </c>
    </row>
    <row r="1238">
      <c r="A1238" s="40" t="s">
        <v>2514</v>
      </c>
      <c r="B1238" s="41" t="s">
        <v>2515</v>
      </c>
    </row>
    <row r="1239">
      <c r="A1239" s="38" t="s">
        <v>2516</v>
      </c>
      <c r="B1239" s="39" t="s">
        <v>2517</v>
      </c>
    </row>
    <row r="1240">
      <c r="A1240" s="38" t="s">
        <v>2518</v>
      </c>
      <c r="B1240" s="39" t="s">
        <v>2519</v>
      </c>
    </row>
    <row r="1241">
      <c r="A1241" s="38" t="s">
        <v>2520</v>
      </c>
      <c r="B1241" s="39" t="s">
        <v>2521</v>
      </c>
    </row>
    <row r="1242">
      <c r="A1242" s="38" t="s">
        <v>2522</v>
      </c>
      <c r="B1242" s="39" t="s">
        <v>2523</v>
      </c>
    </row>
    <row r="1243">
      <c r="A1243" s="38" t="s">
        <v>2524</v>
      </c>
      <c r="B1243" s="39" t="s">
        <v>2525</v>
      </c>
    </row>
    <row r="1244">
      <c r="A1244" s="38" t="s">
        <v>2526</v>
      </c>
      <c r="B1244" s="39" t="s">
        <v>2527</v>
      </c>
    </row>
    <row r="1245">
      <c r="A1245" s="38" t="s">
        <v>2528</v>
      </c>
      <c r="B1245" s="39" t="s">
        <v>2529</v>
      </c>
    </row>
    <row r="1246">
      <c r="A1246" s="38" t="s">
        <v>2530</v>
      </c>
      <c r="B1246" s="39" t="s">
        <v>2531</v>
      </c>
    </row>
    <row r="1247">
      <c r="A1247" s="38" t="s">
        <v>2532</v>
      </c>
      <c r="B1247" s="39" t="s">
        <v>2533</v>
      </c>
    </row>
    <row r="1248">
      <c r="A1248" s="38" t="s">
        <v>2534</v>
      </c>
      <c r="B1248" s="39" t="s">
        <v>2535</v>
      </c>
    </row>
    <row r="1249">
      <c r="A1249" s="38" t="s">
        <v>2536</v>
      </c>
      <c r="B1249" s="39" t="s">
        <v>2537</v>
      </c>
    </row>
    <row r="1250">
      <c r="A1250" s="38" t="s">
        <v>2538</v>
      </c>
      <c r="B1250" s="39" t="s">
        <v>2539</v>
      </c>
    </row>
    <row r="1251">
      <c r="A1251" s="38" t="s">
        <v>2540</v>
      </c>
      <c r="B1251" s="39" t="s">
        <v>2541</v>
      </c>
    </row>
    <row r="1252">
      <c r="A1252" s="38" t="s">
        <v>2542</v>
      </c>
      <c r="B1252" s="39" t="s">
        <v>2543</v>
      </c>
    </row>
    <row r="1253">
      <c r="A1253" s="38" t="s">
        <v>2544</v>
      </c>
      <c r="B1253" s="39" t="s">
        <v>2545</v>
      </c>
    </row>
    <row r="1254">
      <c r="A1254" s="38" t="s">
        <v>2546</v>
      </c>
      <c r="B1254" s="39" t="s">
        <v>2547</v>
      </c>
    </row>
    <row r="1255">
      <c r="A1255" s="38" t="s">
        <v>2548</v>
      </c>
      <c r="B1255" s="39" t="s">
        <v>2549</v>
      </c>
    </row>
    <row r="1256">
      <c r="A1256" s="38" t="s">
        <v>2550</v>
      </c>
      <c r="B1256" s="39" t="s">
        <v>2551</v>
      </c>
    </row>
    <row r="1257">
      <c r="A1257" s="38" t="s">
        <v>2552</v>
      </c>
      <c r="B1257" s="39" t="s">
        <v>2553</v>
      </c>
    </row>
    <row r="1258">
      <c r="A1258" s="38" t="s">
        <v>2554</v>
      </c>
      <c r="B1258" s="39" t="s">
        <v>2555</v>
      </c>
    </row>
    <row r="1259">
      <c r="A1259" s="38" t="s">
        <v>2556</v>
      </c>
      <c r="B1259" s="39" t="s">
        <v>2557</v>
      </c>
    </row>
    <row r="1260">
      <c r="A1260" s="38" t="s">
        <v>2558</v>
      </c>
      <c r="B1260" s="39" t="s">
        <v>2559</v>
      </c>
    </row>
    <row r="1261">
      <c r="A1261" s="38" t="s">
        <v>2560</v>
      </c>
      <c r="B1261" s="39" t="s">
        <v>2561</v>
      </c>
    </row>
    <row r="1262">
      <c r="A1262" s="38" t="s">
        <v>2562</v>
      </c>
      <c r="B1262" s="39" t="s">
        <v>2563</v>
      </c>
    </row>
    <row r="1263">
      <c r="A1263" s="38" t="s">
        <v>2564</v>
      </c>
      <c r="B1263" s="42" t="s">
        <v>2565</v>
      </c>
    </row>
    <row r="1264">
      <c r="A1264" s="38" t="s">
        <v>2566</v>
      </c>
      <c r="B1264" s="39" t="s">
        <v>2567</v>
      </c>
    </row>
    <row r="1265">
      <c r="A1265" s="38" t="s">
        <v>2568</v>
      </c>
      <c r="B1265" s="39" t="s">
        <v>2569</v>
      </c>
    </row>
    <row r="1266">
      <c r="A1266" s="38" t="s">
        <v>2570</v>
      </c>
      <c r="B1266" s="39" t="s">
        <v>2571</v>
      </c>
    </row>
    <row r="1267">
      <c r="A1267" s="38" t="s">
        <v>2572</v>
      </c>
      <c r="B1267" s="39" t="s">
        <v>2573</v>
      </c>
    </row>
    <row r="1268">
      <c r="A1268" s="38" t="s">
        <v>2574</v>
      </c>
      <c r="B1268" s="39" t="s">
        <v>2575</v>
      </c>
    </row>
    <row r="1269">
      <c r="A1269" s="38" t="s">
        <v>2576</v>
      </c>
      <c r="B1269" s="39" t="s">
        <v>2577</v>
      </c>
    </row>
    <row r="1270">
      <c r="A1270" s="38" t="s">
        <v>2578</v>
      </c>
      <c r="B1270" s="39" t="s">
        <v>2579</v>
      </c>
    </row>
    <row r="1271">
      <c r="A1271" s="38" t="s">
        <v>2580</v>
      </c>
      <c r="B1271" s="39" t="s">
        <v>2581</v>
      </c>
    </row>
    <row r="1272">
      <c r="A1272" s="38" t="s">
        <v>2582</v>
      </c>
      <c r="B1272" s="39" t="s">
        <v>2583</v>
      </c>
    </row>
    <row r="1273">
      <c r="A1273" s="38" t="s">
        <v>2584</v>
      </c>
      <c r="B1273" s="39" t="s">
        <v>2585</v>
      </c>
    </row>
    <row r="1274">
      <c r="A1274" s="38" t="s">
        <v>2586</v>
      </c>
      <c r="B1274" s="39" t="s">
        <v>2587</v>
      </c>
    </row>
    <row r="1275">
      <c r="A1275" s="38" t="s">
        <v>2588</v>
      </c>
      <c r="B1275" s="39" t="s">
        <v>2589</v>
      </c>
    </row>
    <row r="1276">
      <c r="A1276" s="38" t="s">
        <v>2590</v>
      </c>
      <c r="B1276" s="39" t="s">
        <v>2591</v>
      </c>
    </row>
    <row r="1277">
      <c r="A1277" s="38" t="s">
        <v>2592</v>
      </c>
      <c r="B1277" s="39" t="s">
        <v>2593</v>
      </c>
    </row>
    <row r="1278">
      <c r="A1278" s="38" t="s">
        <v>2594</v>
      </c>
      <c r="B1278" s="39" t="s">
        <v>2595</v>
      </c>
    </row>
    <row r="1279">
      <c r="A1279" s="38" t="s">
        <v>2596</v>
      </c>
      <c r="B1279" s="39" t="s">
        <v>2597</v>
      </c>
    </row>
    <row r="1280">
      <c r="A1280" s="38" t="s">
        <v>2598</v>
      </c>
      <c r="B1280" s="39" t="s">
        <v>2599</v>
      </c>
    </row>
    <row r="1281">
      <c r="A1281" s="38" t="s">
        <v>2600</v>
      </c>
      <c r="B1281" s="39" t="s">
        <v>2601</v>
      </c>
    </row>
    <row r="1282">
      <c r="A1282" s="38" t="s">
        <v>2602</v>
      </c>
      <c r="B1282" s="52" t="s">
        <v>2603</v>
      </c>
    </row>
    <row r="1283">
      <c r="A1283" s="38" t="s">
        <v>2604</v>
      </c>
      <c r="B1283" s="39" t="s">
        <v>2605</v>
      </c>
    </row>
    <row r="1284">
      <c r="A1284" s="38" t="s">
        <v>2606</v>
      </c>
      <c r="B1284" s="39" t="s">
        <v>2607</v>
      </c>
    </row>
    <row r="1285">
      <c r="A1285" s="38" t="s">
        <v>2608</v>
      </c>
      <c r="B1285" s="39" t="s">
        <v>2609</v>
      </c>
    </row>
    <row r="1286">
      <c r="A1286" s="38" t="s">
        <v>2610</v>
      </c>
      <c r="B1286" s="39" t="s">
        <v>2611</v>
      </c>
    </row>
    <row r="1287">
      <c r="A1287" s="38" t="s">
        <v>2612</v>
      </c>
      <c r="B1287" s="39" t="s">
        <v>2613</v>
      </c>
    </row>
    <row r="1288">
      <c r="A1288" s="38" t="s">
        <v>2614</v>
      </c>
      <c r="B1288" s="39" t="s">
        <v>2615</v>
      </c>
    </row>
    <row r="1289">
      <c r="A1289" s="38" t="s">
        <v>2616</v>
      </c>
      <c r="B1289" s="39" t="s">
        <v>2617</v>
      </c>
    </row>
    <row r="1290">
      <c r="A1290" s="38" t="s">
        <v>2618</v>
      </c>
      <c r="B1290" s="39" t="s">
        <v>2619</v>
      </c>
    </row>
    <row r="1291">
      <c r="A1291" s="38" t="s">
        <v>2620</v>
      </c>
      <c r="B1291" s="39" t="s">
        <v>2621</v>
      </c>
    </row>
    <row r="1292">
      <c r="A1292" s="38" t="s">
        <v>2622</v>
      </c>
      <c r="B1292" s="39" t="s">
        <v>2623</v>
      </c>
    </row>
    <row r="1293">
      <c r="A1293" s="38" t="s">
        <v>2624</v>
      </c>
      <c r="B1293" s="39" t="s">
        <v>2625</v>
      </c>
    </row>
    <row r="1294">
      <c r="A1294" s="38" t="s">
        <v>2626</v>
      </c>
      <c r="B1294" s="39" t="s">
        <v>2627</v>
      </c>
    </row>
    <row r="1295">
      <c r="A1295" s="38" t="s">
        <v>2628</v>
      </c>
      <c r="B1295" s="39" t="s">
        <v>2629</v>
      </c>
    </row>
    <row r="1296">
      <c r="A1296" s="38" t="s">
        <v>2630</v>
      </c>
      <c r="B1296" s="39" t="s">
        <v>2631</v>
      </c>
    </row>
    <row r="1297">
      <c r="A1297" s="38" t="s">
        <v>2632</v>
      </c>
      <c r="B1297" s="39" t="s">
        <v>2633</v>
      </c>
    </row>
    <row r="1298">
      <c r="A1298" s="38" t="s">
        <v>2634</v>
      </c>
      <c r="B1298" s="39" t="s">
        <v>2635</v>
      </c>
    </row>
    <row r="1299">
      <c r="A1299" s="38" t="s">
        <v>2636</v>
      </c>
      <c r="B1299" s="39" t="s">
        <v>2637</v>
      </c>
    </row>
    <row r="1300">
      <c r="A1300" s="38" t="s">
        <v>2638</v>
      </c>
      <c r="B1300" s="39" t="s">
        <v>2639</v>
      </c>
    </row>
    <row r="1301">
      <c r="A1301" s="38" t="s">
        <v>2640</v>
      </c>
      <c r="B1301" s="39" t="s">
        <v>2641</v>
      </c>
    </row>
    <row r="1302">
      <c r="A1302" s="38" t="s">
        <v>2642</v>
      </c>
      <c r="B1302" s="39" t="s">
        <v>2643</v>
      </c>
    </row>
    <row r="1303">
      <c r="A1303" s="38" t="s">
        <v>2644</v>
      </c>
      <c r="B1303" s="39" t="s">
        <v>2645</v>
      </c>
    </row>
    <row r="1304">
      <c r="A1304" s="38" t="s">
        <v>2646</v>
      </c>
      <c r="B1304" s="39" t="s">
        <v>2647</v>
      </c>
    </row>
    <row r="1305">
      <c r="A1305" s="38" t="s">
        <v>2648</v>
      </c>
      <c r="B1305" s="39" t="s">
        <v>2649</v>
      </c>
    </row>
    <row r="1306">
      <c r="A1306" s="38" t="s">
        <v>2650</v>
      </c>
      <c r="B1306" s="42" t="s">
        <v>2651</v>
      </c>
    </row>
    <row r="1307">
      <c r="A1307" s="38" t="s">
        <v>2652</v>
      </c>
      <c r="B1307" s="39" t="s">
        <v>2653</v>
      </c>
    </row>
    <row r="1308">
      <c r="A1308" s="38" t="s">
        <v>2654</v>
      </c>
      <c r="B1308" s="39" t="s">
        <v>2655</v>
      </c>
    </row>
    <row r="1309">
      <c r="A1309" s="38" t="s">
        <v>2656</v>
      </c>
      <c r="B1309" s="39" t="s">
        <v>2657</v>
      </c>
    </row>
    <row r="1310">
      <c r="A1310" s="38" t="s">
        <v>2658</v>
      </c>
      <c r="B1310" s="39" t="s">
        <v>2659</v>
      </c>
    </row>
    <row r="1311">
      <c r="A1311" s="38" t="s">
        <v>2660</v>
      </c>
      <c r="B1311" s="39" t="s">
        <v>2661</v>
      </c>
    </row>
    <row r="1312">
      <c r="A1312" s="38" t="s">
        <v>2662</v>
      </c>
      <c r="B1312" s="43" t="s">
        <v>2663</v>
      </c>
    </row>
    <row r="1313">
      <c r="A1313" s="38" t="s">
        <v>2664</v>
      </c>
      <c r="B1313" s="39" t="s">
        <v>2665</v>
      </c>
    </row>
    <row r="1314">
      <c r="A1314" s="38" t="s">
        <v>2666</v>
      </c>
      <c r="B1314" s="39" t="s">
        <v>2667</v>
      </c>
    </row>
    <row r="1315">
      <c r="A1315" s="38" t="s">
        <v>2668</v>
      </c>
      <c r="B1315" s="39" t="s">
        <v>2669</v>
      </c>
    </row>
    <row r="1316">
      <c r="A1316" s="38" t="s">
        <v>2670</v>
      </c>
      <c r="B1316" s="39" t="s">
        <v>2671</v>
      </c>
    </row>
    <row r="1317">
      <c r="A1317" s="38" t="s">
        <v>2672</v>
      </c>
      <c r="B1317" s="39" t="s">
        <v>2673</v>
      </c>
    </row>
    <row r="1318">
      <c r="A1318" s="38" t="s">
        <v>2674</v>
      </c>
      <c r="B1318" s="39" t="s">
        <v>2675</v>
      </c>
    </row>
    <row r="1319">
      <c r="A1319" s="38" t="s">
        <v>2676</v>
      </c>
      <c r="B1319" s="39" t="s">
        <v>2677</v>
      </c>
    </row>
    <row r="1320">
      <c r="A1320" s="38" t="s">
        <v>2678</v>
      </c>
      <c r="B1320" s="39" t="s">
        <v>2679</v>
      </c>
    </row>
    <row r="1321">
      <c r="A1321" s="40" t="s">
        <v>2680</v>
      </c>
      <c r="B1321" s="41" t="s">
        <v>2681</v>
      </c>
    </row>
    <row r="1322">
      <c r="A1322" s="38" t="s">
        <v>2682</v>
      </c>
      <c r="B1322" s="39" t="s">
        <v>2683</v>
      </c>
    </row>
    <row r="1323">
      <c r="A1323" s="38" t="s">
        <v>2684</v>
      </c>
      <c r="B1323" s="39" t="s">
        <v>2685</v>
      </c>
    </row>
    <row r="1324">
      <c r="A1324" s="38" t="s">
        <v>2686</v>
      </c>
      <c r="B1324" s="39" t="s">
        <v>2687</v>
      </c>
    </row>
    <row r="1325">
      <c r="A1325" s="38" t="s">
        <v>2688</v>
      </c>
      <c r="B1325" s="39" t="s">
        <v>2689</v>
      </c>
    </row>
    <row r="1326">
      <c r="A1326" s="38" t="s">
        <v>2690</v>
      </c>
      <c r="B1326" s="39" t="s">
        <v>2691</v>
      </c>
    </row>
    <row r="1327">
      <c r="A1327" s="38" t="s">
        <v>2692</v>
      </c>
      <c r="B1327" s="39" t="s">
        <v>2693</v>
      </c>
    </row>
    <row r="1328">
      <c r="A1328" s="38" t="s">
        <v>2694</v>
      </c>
      <c r="B1328" s="41" t="s">
        <v>2695</v>
      </c>
    </row>
    <row r="1329">
      <c r="A1329" s="38" t="s">
        <v>2696</v>
      </c>
      <c r="B1329" s="39" t="s">
        <v>2697</v>
      </c>
    </row>
    <row r="1330">
      <c r="A1330" s="38" t="s">
        <v>2698</v>
      </c>
      <c r="B1330" s="39" t="s">
        <v>2699</v>
      </c>
    </row>
    <row r="1331">
      <c r="A1331" s="38" t="s">
        <v>2700</v>
      </c>
      <c r="B1331" s="39" t="s">
        <v>2701</v>
      </c>
    </row>
    <row r="1332">
      <c r="A1332" s="38" t="s">
        <v>2702</v>
      </c>
      <c r="B1332" s="39" t="s">
        <v>2703</v>
      </c>
    </row>
    <row r="1333">
      <c r="A1333" s="38" t="s">
        <v>2704</v>
      </c>
      <c r="B1333" s="39" t="s">
        <v>2705</v>
      </c>
    </row>
    <row r="1334">
      <c r="A1334" s="38" t="s">
        <v>2706</v>
      </c>
      <c r="B1334" s="39" t="s">
        <v>2707</v>
      </c>
    </row>
    <row r="1335">
      <c r="A1335" s="38" t="s">
        <v>2708</v>
      </c>
      <c r="B1335" s="39" t="s">
        <v>2709</v>
      </c>
    </row>
    <row r="1336">
      <c r="A1336" s="38" t="s">
        <v>2710</v>
      </c>
      <c r="B1336" s="39" t="s">
        <v>2711</v>
      </c>
    </row>
    <row r="1337">
      <c r="A1337" s="38" t="s">
        <v>2712</v>
      </c>
      <c r="B1337" s="39" t="s">
        <v>2713</v>
      </c>
    </row>
    <row r="1338">
      <c r="A1338" s="38" t="s">
        <v>2714</v>
      </c>
      <c r="B1338" s="39" t="s">
        <v>2715</v>
      </c>
    </row>
    <row r="1339">
      <c r="A1339" s="38" t="s">
        <v>2716</v>
      </c>
      <c r="B1339" s="39" t="s">
        <v>2717</v>
      </c>
    </row>
    <row r="1340">
      <c r="A1340" s="38" t="s">
        <v>2718</v>
      </c>
      <c r="B1340" s="39" t="s">
        <v>2719</v>
      </c>
    </row>
    <row r="1341">
      <c r="A1341" s="38" t="s">
        <v>2720</v>
      </c>
      <c r="B1341" s="39" t="s">
        <v>2721</v>
      </c>
    </row>
    <row r="1342">
      <c r="A1342" s="38" t="s">
        <v>2722</v>
      </c>
      <c r="B1342" s="39" t="s">
        <v>2723</v>
      </c>
    </row>
    <row r="1343">
      <c r="A1343" s="38" t="s">
        <v>2724</v>
      </c>
      <c r="B1343" s="39" t="s">
        <v>2725</v>
      </c>
    </row>
    <row r="1344">
      <c r="A1344" s="38" t="s">
        <v>2726</v>
      </c>
      <c r="B1344" s="39" t="s">
        <v>2727</v>
      </c>
    </row>
    <row r="1345">
      <c r="A1345" s="38" t="s">
        <v>2728</v>
      </c>
      <c r="B1345" s="39" t="s">
        <v>2729</v>
      </c>
    </row>
    <row r="1346">
      <c r="A1346" s="38" t="s">
        <v>2730</v>
      </c>
      <c r="B1346" s="39" t="s">
        <v>2731</v>
      </c>
    </row>
    <row r="1347">
      <c r="A1347" s="40" t="s">
        <v>2732</v>
      </c>
      <c r="B1347" s="41" t="s">
        <v>2733</v>
      </c>
    </row>
    <row r="1348">
      <c r="A1348" s="38" t="s">
        <v>2734</v>
      </c>
      <c r="B1348" s="39" t="s">
        <v>2735</v>
      </c>
    </row>
    <row r="1349">
      <c r="A1349" s="38" t="s">
        <v>2736</v>
      </c>
      <c r="B1349" s="39" t="s">
        <v>2737</v>
      </c>
    </row>
    <row r="1350">
      <c r="A1350" s="38" t="s">
        <v>2738</v>
      </c>
      <c r="B1350" s="39" t="s">
        <v>2739</v>
      </c>
    </row>
    <row r="1351">
      <c r="A1351" s="38" t="s">
        <v>2740</v>
      </c>
      <c r="B1351" s="39" t="s">
        <v>2741</v>
      </c>
    </row>
    <row r="1352">
      <c r="A1352" s="38" t="s">
        <v>2742</v>
      </c>
      <c r="B1352" s="39" t="s">
        <v>2743</v>
      </c>
    </row>
    <row r="1353">
      <c r="A1353" s="38" t="s">
        <v>2744</v>
      </c>
      <c r="B1353" s="39" t="s">
        <v>2745</v>
      </c>
    </row>
    <row r="1354">
      <c r="A1354" s="38" t="s">
        <v>2746</v>
      </c>
      <c r="B1354" s="39" t="s">
        <v>2747</v>
      </c>
    </row>
    <row r="1355">
      <c r="A1355" s="38" t="s">
        <v>2748</v>
      </c>
      <c r="B1355" s="39" t="s">
        <v>2749</v>
      </c>
    </row>
    <row r="1356">
      <c r="A1356" s="38" t="s">
        <v>2750</v>
      </c>
      <c r="B1356" s="39" t="s">
        <v>2751</v>
      </c>
    </row>
    <row r="1357">
      <c r="A1357" s="38" t="s">
        <v>2752</v>
      </c>
      <c r="B1357" s="39" t="s">
        <v>2753</v>
      </c>
    </row>
    <row r="1358">
      <c r="A1358" s="38" t="s">
        <v>2754</v>
      </c>
      <c r="B1358" s="39" t="s">
        <v>2755</v>
      </c>
    </row>
    <row r="1359">
      <c r="A1359" s="38" t="s">
        <v>2756</v>
      </c>
      <c r="B1359" s="39" t="s">
        <v>2757</v>
      </c>
    </row>
    <row r="1360">
      <c r="A1360" s="38" t="s">
        <v>2758</v>
      </c>
      <c r="B1360" s="39" t="s">
        <v>2759</v>
      </c>
    </row>
    <row r="1361">
      <c r="A1361" s="38" t="s">
        <v>2760</v>
      </c>
      <c r="B1361" s="39" t="s">
        <v>2761</v>
      </c>
    </row>
    <row r="1362">
      <c r="A1362" s="38" t="s">
        <v>2762</v>
      </c>
      <c r="B1362" s="39" t="s">
        <v>2763</v>
      </c>
    </row>
    <row r="1363">
      <c r="A1363" s="38" t="s">
        <v>2764</v>
      </c>
      <c r="B1363" s="39" t="s">
        <v>2765</v>
      </c>
    </row>
    <row r="1364">
      <c r="A1364" s="38" t="s">
        <v>2766</v>
      </c>
      <c r="B1364" s="39" t="s">
        <v>2767</v>
      </c>
    </row>
    <row r="1365">
      <c r="A1365" s="38" t="s">
        <v>2768</v>
      </c>
      <c r="B1365" s="39" t="s">
        <v>2769</v>
      </c>
    </row>
    <row r="1366">
      <c r="A1366" s="38" t="s">
        <v>2770</v>
      </c>
      <c r="B1366" s="39" t="s">
        <v>2771</v>
      </c>
    </row>
    <row r="1367">
      <c r="A1367" s="38" t="s">
        <v>2772</v>
      </c>
      <c r="B1367" s="39" t="s">
        <v>2773</v>
      </c>
    </row>
    <row r="1368">
      <c r="A1368" s="38" t="s">
        <v>2774</v>
      </c>
      <c r="B1368" s="39" t="s">
        <v>2775</v>
      </c>
    </row>
    <row r="1369">
      <c r="A1369" s="38" t="s">
        <v>2776</v>
      </c>
      <c r="B1369" s="39" t="s">
        <v>2777</v>
      </c>
    </row>
    <row r="1370">
      <c r="A1370" s="38" t="s">
        <v>2778</v>
      </c>
      <c r="B1370" s="39" t="s">
        <v>2779</v>
      </c>
    </row>
    <row r="1371">
      <c r="A1371" s="38" t="s">
        <v>2780</v>
      </c>
      <c r="B1371" s="39" t="s">
        <v>2781</v>
      </c>
    </row>
    <row r="1372">
      <c r="A1372" s="38" t="s">
        <v>36</v>
      </c>
      <c r="B1372" s="39" t="s">
        <v>37</v>
      </c>
    </row>
    <row r="1373">
      <c r="A1373" s="38" t="s">
        <v>2782</v>
      </c>
      <c r="B1373" s="39" t="s">
        <v>2783</v>
      </c>
    </row>
    <row r="1374">
      <c r="A1374" s="38" t="s">
        <v>2784</v>
      </c>
      <c r="B1374" s="39" t="s">
        <v>2785</v>
      </c>
    </row>
    <row r="1375">
      <c r="A1375" s="38" t="s">
        <v>2786</v>
      </c>
      <c r="B1375" s="39" t="s">
        <v>2787</v>
      </c>
    </row>
    <row r="1376">
      <c r="A1376" s="38" t="s">
        <v>2788</v>
      </c>
      <c r="B1376" s="39" t="s">
        <v>2789</v>
      </c>
    </row>
    <row r="1377">
      <c r="A1377" s="38" t="s">
        <v>2790</v>
      </c>
      <c r="B1377" s="39" t="s">
        <v>2791</v>
      </c>
    </row>
    <row r="1378">
      <c r="A1378" s="38" t="s">
        <v>2792</v>
      </c>
      <c r="B1378" s="39" t="s">
        <v>2793</v>
      </c>
    </row>
    <row r="1379">
      <c r="A1379" s="53" t="s">
        <v>2794</v>
      </c>
      <c r="B1379" s="39" t="s">
        <v>2795</v>
      </c>
    </row>
    <row r="1380">
      <c r="A1380" s="38" t="s">
        <v>2796</v>
      </c>
      <c r="B1380" s="39" t="s">
        <v>2797</v>
      </c>
    </row>
    <row r="1381">
      <c r="A1381" s="38" t="s">
        <v>2798</v>
      </c>
      <c r="B1381" s="39" t="s">
        <v>2799</v>
      </c>
    </row>
    <row r="1382">
      <c r="A1382" s="38" t="s">
        <v>2800</v>
      </c>
      <c r="B1382" s="42" t="s">
        <v>2801</v>
      </c>
    </row>
    <row r="1383">
      <c r="A1383" s="40" t="s">
        <v>2802</v>
      </c>
      <c r="B1383" s="41" t="s">
        <v>2803</v>
      </c>
    </row>
    <row r="1384">
      <c r="A1384" s="38" t="s">
        <v>2804</v>
      </c>
      <c r="B1384" s="39" t="s">
        <v>2805</v>
      </c>
    </row>
    <row r="1385">
      <c r="A1385" s="38" t="s">
        <v>2806</v>
      </c>
      <c r="B1385" s="39" t="s">
        <v>2807</v>
      </c>
    </row>
    <row r="1386">
      <c r="A1386" s="38" t="s">
        <v>2808</v>
      </c>
      <c r="B1386" s="39" t="s">
        <v>2809</v>
      </c>
    </row>
    <row r="1387">
      <c r="A1387" s="38" t="s">
        <v>2810</v>
      </c>
      <c r="B1387" s="39" t="s">
        <v>2811</v>
      </c>
    </row>
    <row r="1388">
      <c r="A1388" s="38" t="s">
        <v>2812</v>
      </c>
      <c r="B1388" s="39" t="s">
        <v>2813</v>
      </c>
    </row>
    <row r="1389">
      <c r="A1389" s="38" t="s">
        <v>2814</v>
      </c>
      <c r="B1389" s="39" t="s">
        <v>2815</v>
      </c>
    </row>
    <row r="1390">
      <c r="A1390" s="38" t="s">
        <v>2816</v>
      </c>
      <c r="B1390" s="39" t="s">
        <v>2817</v>
      </c>
    </row>
    <row r="1391">
      <c r="A1391" s="40" t="s">
        <v>2818</v>
      </c>
      <c r="B1391" s="41" t="s">
        <v>2819</v>
      </c>
    </row>
    <row r="1392">
      <c r="A1392" s="38" t="s">
        <v>2820</v>
      </c>
      <c r="B1392" s="39" t="s">
        <v>2821</v>
      </c>
    </row>
    <row r="1393">
      <c r="A1393" s="38" t="s">
        <v>2822</v>
      </c>
      <c r="B1393" s="39" t="s">
        <v>2823</v>
      </c>
    </row>
    <row r="1394">
      <c r="A1394" s="38" t="s">
        <v>2824</v>
      </c>
      <c r="B1394" s="39" t="s">
        <v>2825</v>
      </c>
    </row>
    <row r="1395">
      <c r="A1395" s="38" t="s">
        <v>2826</v>
      </c>
      <c r="B1395" s="39" t="s">
        <v>2827</v>
      </c>
    </row>
    <row r="1396">
      <c r="A1396" s="38" t="s">
        <v>2828</v>
      </c>
      <c r="B1396" s="39" t="s">
        <v>2829</v>
      </c>
    </row>
    <row r="1397">
      <c r="A1397" s="38" t="s">
        <v>2830</v>
      </c>
      <c r="B1397" s="42" t="s">
        <v>2831</v>
      </c>
    </row>
    <row r="1398">
      <c r="A1398" s="38" t="s">
        <v>2832</v>
      </c>
      <c r="B1398" s="39" t="s">
        <v>2833</v>
      </c>
    </row>
    <row r="1399">
      <c r="A1399" s="38" t="s">
        <v>2834</v>
      </c>
      <c r="B1399" s="39" t="s">
        <v>2835</v>
      </c>
    </row>
    <row r="1400">
      <c r="A1400" s="38" t="s">
        <v>2836</v>
      </c>
      <c r="B1400" s="39" t="s">
        <v>2837</v>
      </c>
    </row>
    <row r="1401">
      <c r="A1401" s="38" t="s">
        <v>2838</v>
      </c>
      <c r="B1401" s="46" t="s">
        <v>2839</v>
      </c>
    </row>
    <row r="1402">
      <c r="A1402" s="38" t="s">
        <v>2840</v>
      </c>
      <c r="B1402" s="39" t="s">
        <v>2841</v>
      </c>
    </row>
    <row r="1403">
      <c r="A1403" s="38" t="s">
        <v>2842</v>
      </c>
      <c r="B1403" s="39" t="s">
        <v>2843</v>
      </c>
    </row>
    <row r="1404">
      <c r="A1404" s="38" t="s">
        <v>2844</v>
      </c>
      <c r="B1404" s="39" t="s">
        <v>2845</v>
      </c>
    </row>
    <row r="1405">
      <c r="A1405" s="38" t="s">
        <v>2846</v>
      </c>
      <c r="B1405" s="39" t="s">
        <v>2847</v>
      </c>
    </row>
    <row r="1406">
      <c r="A1406" s="38" t="s">
        <v>2848</v>
      </c>
      <c r="B1406" s="39" t="s">
        <v>2849</v>
      </c>
    </row>
  </sheetData>
  <hyperlinks>
    <hyperlink r:id="rId1" ref="A429"/>
  </hyperlinks>
  <drawing r:id="rId2"/>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81.13"/>
    <col customWidth="1" min="7" max="7" width="29.0"/>
    <col customWidth="1" min="8" max="8" width="34.38"/>
    <col customWidth="1" min="9" max="9" width="32.75"/>
    <col customWidth="1" min="10" max="10" width="37.0"/>
  </cols>
  <sheetData>
    <row r="1">
      <c r="A1" s="1" t="str">
        <f>IFERROR(__xludf.DUMMYFUNCTION("importrange(""https://docs.google.com/spreadsheets/d/1yU4p5H2yU5skj24I50dHrQgC4a9ilv5aTKR7hnBISJk/edit#gid=1150739352"",""CE-PLN!A1:J150"")"),"TOP")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58" t="str">
        <f>IFERROR(__xludf.DUMMYFUNCTION("""COMPUTED_VALUE"""),"Top 10")</f>
        <v>Top 10</v>
      </c>
      <c r="B2" s="172" t="str">
        <f>IFERROR(__xludf.DUMMYFUNCTION("""COMPUTED_VALUE"""),"ACL")</f>
        <v>ACL</v>
      </c>
      <c r="C2" s="172" t="str">
        <f>IFERROR(__xludf.DUMMYFUNCTION("""COMPUTED_VALUE"""),"Annual Meeting of the Association for Computational Linguistics")</f>
        <v>Annual Meeting of the Association for Computational Linguistics</v>
      </c>
      <c r="D2" s="148">
        <f>IFERROR(__xludf.DUMMYFUNCTION("""COMPUTED_VALUE"""),215.0)</f>
        <v>215</v>
      </c>
      <c r="E2" s="147" t="str">
        <f>IFERROR(__xludf.DUMMYFUNCTION("""COMPUTED_VALUE"""),"https://scholar.google.com.br/citations?hl=pt-BR&amp;view_op=list_hcore&amp;venue=Y3UjV9bSCxMJ.2024")</f>
        <v>https://scholar.google.com.br/citations?hl=pt-BR&amp;view_op=list_hcore&amp;venue=Y3UjV9bSCxMJ.2024</v>
      </c>
      <c r="I2" s="60" t="str">
        <f>IFERROR(__xludf.DUMMYFUNCTION("""COMPUTED_VALUE"""),"https://dblp.org/db/conf/acl/index.html")</f>
        <v>https://dblp.org/db/conf/acl/index.html</v>
      </c>
    </row>
    <row r="3">
      <c r="A3" s="58" t="str">
        <f>IFERROR(__xludf.DUMMYFUNCTION("""COMPUTED_VALUE"""),"Top 10")</f>
        <v>Top 10</v>
      </c>
      <c r="B3" s="172" t="str">
        <f>IFERROR(__xludf.DUMMYFUNCTION("""COMPUTED_VALUE"""),"NAACL")</f>
        <v>NAACL</v>
      </c>
      <c r="C3" s="172" t="str">
        <f>IFERROR(__xludf.DUMMYFUNCTION("""COMPUTED_VALUE"""),"North American Chapter of the Association for Computational Linguistics Annual Meeting")</f>
        <v>North American Chapter of the Association for Computational Linguistics Annual Meeting</v>
      </c>
      <c r="D3" s="148">
        <f>IFERROR(__xludf.DUMMYFUNCTION("""COMPUTED_VALUE"""),132.0)</f>
        <v>132</v>
      </c>
      <c r="E3" s="147" t="str">
        <f>IFERROR(__xludf.DUMMYFUNCTION("""COMPUTED_VALUE"""),"https://scholar.google.com.br/citations?hl=pt-BR&amp;view_op=list_hcore&amp;venue=ORSK3meVbY4J.2024")</f>
        <v>https://scholar.google.com.br/citations?hl=pt-BR&amp;view_op=list_hcore&amp;venue=ORSK3meVbY4J.2024</v>
      </c>
      <c r="I3" s="60" t="str">
        <f>IFERROR(__xludf.DUMMYFUNCTION("""COMPUTED_VALUE"""),"https://dblp.org/db/conf/naacl/index.html")</f>
        <v>https://dblp.org/db/conf/naacl/index.html</v>
      </c>
    </row>
    <row r="4">
      <c r="A4" s="58" t="str">
        <f>IFERROR(__xludf.DUMMYFUNCTION("""COMPUTED_VALUE"""),"Top 10")</f>
        <v>Top 10</v>
      </c>
      <c r="B4" s="172" t="str">
        <f>IFERROR(__xludf.DUMMYFUNCTION("""COMPUTED_VALUE"""),"EACL")</f>
        <v>EACL</v>
      </c>
      <c r="C4" s="172" t="str">
        <f>IFERROR(__xludf.DUMMYFUNCTION("""COMPUTED_VALUE"""),"Conference of the European Chapter of the Association for Computational Linguistics")</f>
        <v>Conference of the European Chapter of the Association for Computational Linguistics</v>
      </c>
      <c r="D4" s="148">
        <f>IFERROR(__xludf.DUMMYFUNCTION("""COMPUTED_VALUE"""),56.0)</f>
        <v>56</v>
      </c>
      <c r="E4" s="147" t="str">
        <f>IFERROR(__xludf.DUMMYFUNCTION("""COMPUTED_VALUE"""),"https://scholar.google.com.br/citations?hl=pt-BR&amp;view_op=list_hcore&amp;venue=JnFTLT-D1FUJ.2024")</f>
        <v>https://scholar.google.com.br/citations?hl=pt-BR&amp;view_op=list_hcore&amp;venue=JnFTLT-D1FUJ.2024</v>
      </c>
      <c r="I4" s="60" t="str">
        <f>IFERROR(__xludf.DUMMYFUNCTION("""COMPUTED_VALUE"""),"https://dblp.org/db/conf/eacl/index.html")</f>
        <v>https://dblp.org/db/conf/eacl/index.html</v>
      </c>
    </row>
    <row r="5">
      <c r="A5" s="58" t="str">
        <f>IFERROR(__xludf.DUMMYFUNCTION("""COMPUTED_VALUE"""),"Top 10")</f>
        <v>Top 10</v>
      </c>
      <c r="B5" s="172" t="str">
        <f>IFERROR(__xludf.DUMMYFUNCTION("""COMPUTED_VALUE"""),"COLING")</f>
        <v>COLING</v>
      </c>
      <c r="C5" s="172" t="str">
        <f>IFERROR(__xludf.DUMMYFUNCTION("""COMPUTED_VALUE"""),"International Conference on Computational Linguistics")</f>
        <v>International Conference on Computational Linguistics</v>
      </c>
      <c r="D5" s="148">
        <f>IFERROR(__xludf.DUMMYFUNCTION("""COMPUTED_VALUE"""),65.0)</f>
        <v>65</v>
      </c>
      <c r="E5" s="147" t="str">
        <f>IFERROR(__xludf.DUMMYFUNCTION("""COMPUTED_VALUE"""),"https://scholar.google.com.br/citations?hl=pt-BR&amp;view_op=list_hcore&amp;venue=6AfzgED5a7MJ.2024")</f>
        <v>https://scholar.google.com.br/citations?hl=pt-BR&amp;view_op=list_hcore&amp;venue=6AfzgED5a7MJ.2024</v>
      </c>
      <c r="I5" s="60" t="str">
        <f>IFERROR(__xludf.DUMMYFUNCTION("""COMPUTED_VALUE"""),"https://dblp.org/db/conf/coling/index.html")</f>
        <v>https://dblp.org/db/conf/coling/index.html</v>
      </c>
    </row>
    <row r="6">
      <c r="A6" s="58" t="str">
        <f>IFERROR(__xludf.DUMMYFUNCTION("""COMPUTED_VALUE"""),"Top 10")</f>
        <v>Top 10</v>
      </c>
      <c r="B6" s="172" t="str">
        <f>IFERROR(__xludf.DUMMYFUNCTION("""COMPUTED_VALUE"""),"EMNLP")</f>
        <v>EMNLP</v>
      </c>
      <c r="C6" s="172" t="str">
        <f>IFERROR(__xludf.DUMMYFUNCTION("""COMPUTED_VALUE"""),"Conference on Empirical Methods in Natural Language Processing")</f>
        <v>Conference on Empirical Methods in Natural Language Processing</v>
      </c>
      <c r="D6" s="148">
        <f>IFERROR(__xludf.DUMMYFUNCTION("""COMPUTED_VALUE"""),193.0)</f>
        <v>193</v>
      </c>
      <c r="E6" s="147" t="str">
        <f>IFERROR(__xludf.DUMMYFUNCTION("""COMPUTED_VALUE"""),"https://scholar.google.com.br/citations?hl=pt-BR&amp;view_op=list_hcore&amp;venue=LqrQjvOguiMJ.2024")</f>
        <v>https://scholar.google.com.br/citations?hl=pt-BR&amp;view_op=list_hcore&amp;venue=LqrQjvOguiMJ.2024</v>
      </c>
      <c r="I6" s="60" t="str">
        <f>IFERROR(__xludf.DUMMYFUNCTION("""COMPUTED_VALUE"""),"https://dblp.org/db/conf/emnlp/index.html")</f>
        <v>https://dblp.org/db/conf/emnlp/index.html</v>
      </c>
    </row>
    <row r="7">
      <c r="A7" s="58" t="str">
        <f>IFERROR(__xludf.DUMMYFUNCTION("""COMPUTED_VALUE"""),"Top 10")</f>
        <v>Top 10</v>
      </c>
      <c r="B7" s="172" t="str">
        <f>IFERROR(__xludf.DUMMYFUNCTION("""COMPUTED_VALUE"""),"LREC")</f>
        <v>LREC</v>
      </c>
      <c r="C7" s="172" t="str">
        <f>IFERROR(__xludf.DUMMYFUNCTION("""COMPUTED_VALUE"""),"International Conference on Language Resources and Evaluation")</f>
        <v>International Conference on Language Resources and Evaluation</v>
      </c>
      <c r="D7" s="148">
        <f>IFERROR(__xludf.DUMMYFUNCTION("""COMPUTED_VALUE"""),59.0)</f>
        <v>59</v>
      </c>
      <c r="E7" s="147" t="str">
        <f>IFERROR(__xludf.DUMMYFUNCTION("""COMPUTED_VALUE"""),"https://scholar.google.com.br/citations?hl=pt-BR&amp;view_op=list_hcore&amp;venue=qf6JB6yXg1UJ.2024")</f>
        <v>https://scholar.google.com.br/citations?hl=pt-BR&amp;view_op=list_hcore&amp;venue=qf6JB6yXg1UJ.2024</v>
      </c>
      <c r="I7" s="60" t="str">
        <f>IFERROR(__xludf.DUMMYFUNCTION("""COMPUTED_VALUE"""),"https://dblp.org/db/conf/lrec/index.html")</f>
        <v>https://dblp.org/db/conf/lrec/index.html</v>
      </c>
    </row>
    <row r="8">
      <c r="A8" s="58" t="str">
        <f>IFERROR(__xludf.DUMMYFUNCTION("""COMPUTED_VALUE"""),"Top 10")</f>
        <v>Top 10</v>
      </c>
      <c r="B8" s="172" t="str">
        <f>IFERROR(__xludf.DUMMYFUNCTION("""COMPUTED_VALUE"""),"CoNLL")</f>
        <v>CoNLL</v>
      </c>
      <c r="C8" s="172" t="str">
        <f>IFERROR(__xludf.DUMMYFUNCTION("""COMPUTED_VALUE"""),"Conference on Natural Language Learning")</f>
        <v>Conference on Natural Language Learning</v>
      </c>
      <c r="D8" s="120">
        <f>IFERROR(__xludf.DUMMYFUNCTION("""COMPUTED_VALUE"""),39.0)</f>
        <v>39</v>
      </c>
      <c r="E8" s="147" t="str">
        <f>IFERROR(__xludf.DUMMYFUNCTION("""COMPUTED_VALUE"""),"https://scholar.google.com.br/citations?hl=pt-BR&amp;view_op=list_hcore&amp;venue=H7TUtVM_vm4J.2024")</f>
        <v>https://scholar.google.com.br/citations?hl=pt-BR&amp;view_op=list_hcore&amp;venue=H7TUtVM_vm4J.2024</v>
      </c>
      <c r="I8" s="60" t="str">
        <f>IFERROR(__xludf.DUMMYFUNCTION("""COMPUTED_VALUE"""),"https://dblp.org/db/conf/conll/index.html")</f>
        <v>https://dblp.org/db/conf/conll/index.html</v>
      </c>
    </row>
    <row r="9">
      <c r="A9" s="58" t="str">
        <f>IFERROR(__xludf.DUMMYFUNCTION("""COMPUTED_VALUE"""),"Top 10")</f>
        <v>Top 10</v>
      </c>
      <c r="B9" s="172" t="str">
        <f>IFERROR(__xludf.DUMMYFUNCTION("""COMPUTED_VALUE"""),"IJCNLP")</f>
        <v>IJCNLP</v>
      </c>
      <c r="C9" s="172" t="str">
        <f>IFERROR(__xludf.DUMMYFUNCTION("""COMPUTED_VALUE"""),"International Joint Conference on Natural Language Processing")</f>
        <v>International Joint Conference on Natural Language Processing</v>
      </c>
      <c r="D9" s="148">
        <f>IFERROR(__xludf.DUMMYFUNCTION("""COMPUTED_VALUE"""),32.0)</f>
        <v>32</v>
      </c>
      <c r="E9" s="147" t="str">
        <f>IFERROR(__xludf.DUMMYFUNCTION("""COMPUTED_VALUE"""),"https://scholar.google.com.br/citations?hl=pt-BR&amp;view_op=list_hcore&amp;venue=kYJHGA9yIBMJ.2024")</f>
        <v>https://scholar.google.com.br/citations?hl=pt-BR&amp;view_op=list_hcore&amp;venue=kYJHGA9yIBMJ.2024</v>
      </c>
      <c r="I9" s="60" t="str">
        <f>IFERROR(__xludf.DUMMYFUNCTION("""COMPUTED_VALUE"""),"https://dblp.org/db/conf/ijcnlp/index.html")</f>
        <v>https://dblp.org/db/conf/ijcnlp/index.html</v>
      </c>
    </row>
    <row r="10">
      <c r="A10" s="58" t="str">
        <f>IFERROR(__xludf.DUMMYFUNCTION("""COMPUTED_VALUE"""),"Top 10")</f>
        <v>Top 10</v>
      </c>
      <c r="B10" s="172" t="str">
        <f>IFERROR(__xludf.DUMMYFUNCTION("""COMPUTED_VALUE"""),"STIL")</f>
        <v>STIL</v>
      </c>
      <c r="C10" s="172" t="str">
        <f>IFERROR(__xludf.DUMMYFUNCTION("""COMPUTED_VALUE"""),"Brazilian Symposium in Information and Human Language Technology")</f>
        <v>Brazilian Symposium in Information and Human Language Technology</v>
      </c>
      <c r="D10" s="148">
        <f>IFERROR(__xludf.DUMMYFUNCTION("""COMPUTED_VALUE"""),4.0)</f>
        <v>4</v>
      </c>
      <c r="E10" s="147" t="str">
        <f>IFERROR(__xludf.DUMMYFUNCTION("""COMPUTED_VALUE"""),"https://scholar.google.com/scholar?as_q=&amp;as_epq=&amp;as_oq=&amp;as_eq=&amp;as_occt=any&amp;as_sauthors=&amp;as_publication=Simp%C3%B3sio+Brasileiro+de+Tecnologia+da+Informa%C3%A7%C3%A3o+e+da+Linguagem+Humana&amp;as_ylo=2020&amp;as_yhi=2024&amp;hl=pt-BR&amp;as_sdt=0%2C5")</f>
        <v>https://scholar.google.com/scholar?as_q=&amp;as_epq=&amp;as_oq=&amp;as_eq=&amp;as_occt=any&amp;as_sauthors=&amp;as_publication=Simp%C3%B3sio+Brasileiro+de+Tecnologia+da+Informa%C3%A7%C3%A3o+e+da+Linguagem+Humana&amp;as_ylo=2020&amp;as_yhi=2024&amp;hl=pt-BR&amp;as_sdt=0%2C5</v>
      </c>
      <c r="H10" t="str">
        <f>IFERROR(__xludf.DUMMYFUNCTION("""COMPUTED_VALUE"""),"Simpósio Brasileiro de Tecnologia da Informação e da Linguagem Humana")</f>
        <v>Simpósio Brasileiro de Tecnologia da Informação e da Linguagem Humana</v>
      </c>
      <c r="I10" s="60" t="str">
        <f>IFERROR(__xludf.DUMMYFUNCTION("""COMPUTED_VALUE"""),"https://dblp.org/db/conf/stil/index.html")</f>
        <v>https://dblp.org/db/conf/stil/index.html</v>
      </c>
      <c r="J10" s="60" t="str">
        <f>IFERROR(__xludf.DUMMYFUNCTION("""COMPUTED_VALUE"""),"https://sol.sbc.org.br/index.php/stil/issue/archive")</f>
        <v>https://sol.sbc.org.br/index.php/stil/issue/archive</v>
      </c>
    </row>
    <row r="11">
      <c r="A11" s="58" t="str">
        <f>IFERROR(__xludf.DUMMYFUNCTION("""COMPUTED_VALUE"""),"Top 10")</f>
        <v>Top 10</v>
      </c>
      <c r="B11" s="172" t="str">
        <f>IFERROR(__xludf.DUMMYFUNCTION("""COMPUTED_VALUE"""),"PROPOR")</f>
        <v>PROPOR</v>
      </c>
      <c r="C11" s="172" t="str">
        <f>IFERROR(__xludf.DUMMYFUNCTION("""COMPUTED_VALUE"""),"International Conference on Computational Processing of the Portuguese Language")</f>
        <v>International Conference on Computational Processing of the Portuguese Language</v>
      </c>
      <c r="D11" s="148">
        <f>IFERROR(__xludf.DUMMYFUNCTION("""COMPUTED_VALUE"""),9.0)</f>
        <v>9</v>
      </c>
      <c r="E11" s="147" t="str">
        <f>IFERROR(__xludf.DUMMYFUNCTION("""COMPUTED_VALUE"""),"https://scholar.google.com/scholar?as_q=&amp;as_epq=&amp;as_oq=&amp;as_eq=&amp;as_occt=any&amp;as_sauthors=&amp;as_publication=International+Conference+on+Computational+Processing+of+the+Portuguese+Language&amp;as_ylo=2020&amp;as_yhi=2024&amp;hl=pt-BR&amp;as_sdt=0%2C5")</f>
        <v>https://scholar.google.com/scholar?as_q=&amp;as_epq=&amp;as_oq=&amp;as_eq=&amp;as_occt=any&amp;as_sauthors=&amp;as_publication=International+Conference+on+Computational+Processing+of+the+Portuguese+Language&amp;as_ylo=2020&amp;as_yhi=2024&amp;hl=pt-BR&amp;as_sdt=0%2C5</v>
      </c>
      <c r="I11" s="60" t="str">
        <f>IFERROR(__xludf.DUMMYFUNCTION("""COMPUTED_VALUE"""),"https://dblp.org/db/conf/propor/index.html")</f>
        <v>https://dblp.org/db/conf/propor/index.html</v>
      </c>
    </row>
    <row r="12">
      <c r="A12" s="65" t="str">
        <f>IFERROR(__xludf.DUMMYFUNCTION("""COMPUTED_VALUE"""),"Top 20")</f>
        <v>Top 20</v>
      </c>
      <c r="B12" s="172" t="str">
        <f>IFERROR(__xludf.DUMMYFUNCTION("""COMPUTED_VALUE"""),"INTERSPEECH")</f>
        <v>INTERSPEECH</v>
      </c>
      <c r="C12" s="172" t="str">
        <f>IFERROR(__xludf.DUMMYFUNCTION("""COMPUTED_VALUE"""),"Conference of the International Speech Communication Association")</f>
        <v>Conference of the International Speech Communication Association</v>
      </c>
      <c r="D12" s="148">
        <f>IFERROR(__xludf.DUMMYFUNCTION("""COMPUTED_VALUE"""),111.0)</f>
        <v>111</v>
      </c>
      <c r="E12" s="147" t="str">
        <f>IFERROR(__xludf.DUMMYFUNCTION("""COMPUTED_VALUE"""),"https://scholar.google.com.br/citations?hl=pt-BR&amp;view_op=list_hcore&amp;venue=ssdQ_yPkyjAJ.2024")</f>
        <v>https://scholar.google.com.br/citations?hl=pt-BR&amp;view_op=list_hcore&amp;venue=ssdQ_yPkyjAJ.2024</v>
      </c>
      <c r="I12" s="60" t="str">
        <f>IFERROR(__xludf.DUMMYFUNCTION("""COMPUTED_VALUE"""),"https://dblp.org/db/conf/interspeech/index.html")</f>
        <v>https://dblp.org/db/conf/interspeech/index.html</v>
      </c>
    </row>
    <row r="13">
      <c r="A13" s="65" t="str">
        <f>IFERROR(__xludf.DUMMYFUNCTION("""COMPUTED_VALUE"""),"Top 20")</f>
        <v>Top 20</v>
      </c>
      <c r="B13" s="172" t="str">
        <f>IFERROR(__xludf.DUMMYFUNCTION("""COMPUTED_VALUE"""),"SEMEVAL")</f>
        <v>SEMEVAL</v>
      </c>
      <c r="C13" s="172" t="str">
        <f>IFERROR(__xludf.DUMMYFUNCTION("""COMPUTED_VALUE"""),"International Workshop on Semantic Evaluation")</f>
        <v>International Workshop on Semantic Evaluation</v>
      </c>
      <c r="D13" s="148">
        <f>IFERROR(__xludf.DUMMYFUNCTION("""COMPUTED_VALUE"""),41.0)</f>
        <v>41</v>
      </c>
      <c r="E13" s="147" t="str">
        <f>IFERROR(__xludf.DUMMYFUNCTION("""COMPUTED_VALUE"""),"https://scholar.google.com.br/citations?hl=pt-BR&amp;vq=eng_computationallinguistics&amp;view_op=list_hcore&amp;venue=nnrJuCTuhnwJ.2024")</f>
        <v>https://scholar.google.com.br/citations?hl=pt-BR&amp;vq=eng_computationallinguistics&amp;view_op=list_hcore&amp;venue=nnrJuCTuhnwJ.2024</v>
      </c>
      <c r="I13" s="60" t="str">
        <f>IFERROR(__xludf.DUMMYFUNCTION("""COMPUTED_VALUE"""),"https://dblp.org/db/conf/semeval/index.html")</f>
        <v>https://dblp.org/db/conf/semeval/index.html</v>
      </c>
    </row>
    <row r="14">
      <c r="A14" s="65" t="str">
        <f>IFERROR(__xludf.DUMMYFUNCTION("""COMPUTED_VALUE"""),"Top 20")</f>
        <v>Top 20</v>
      </c>
      <c r="B14" s="172" t="str">
        <f>IFERROR(__xludf.DUMMYFUNCTION("""COMPUTED_VALUE"""),"RANLP")</f>
        <v>RANLP</v>
      </c>
      <c r="C14" s="172" t="str">
        <f>IFERROR(__xludf.DUMMYFUNCTION("""COMPUTED_VALUE"""),"International Conference on Recent Advances in Natural Language Processing")</f>
        <v>International Conference on Recent Advances in Natural Language Processing</v>
      </c>
      <c r="D14" s="148">
        <f>IFERROR(__xludf.DUMMYFUNCTION("""COMPUTED_VALUE"""),25.0)</f>
        <v>25</v>
      </c>
      <c r="E14" s="147" t="str">
        <f>IFERROR(__xludf.DUMMYFUNCTION("""COMPUTED_VALUE"""),"https://scholar.google.com.br/citations?hl=pt-BR&amp;view_op=list_hcore&amp;venue=Y7mlmpXAthkJ.2024")</f>
        <v>https://scholar.google.com.br/citations?hl=pt-BR&amp;view_op=list_hcore&amp;venue=Y7mlmpXAthkJ.2024</v>
      </c>
      <c r="I14" s="60" t="str">
        <f>IFERROR(__xludf.DUMMYFUNCTION("""COMPUTED_VALUE"""),"https://dblp.org/db/conf/ranlp/index.html")</f>
        <v>https://dblp.org/db/conf/ranlp/index.html</v>
      </c>
    </row>
    <row r="15">
      <c r="A15" s="65" t="str">
        <f>IFERROR(__xludf.DUMMYFUNCTION("""COMPUTED_VALUE"""),"Top 20")</f>
        <v>Top 20</v>
      </c>
      <c r="B15" s="172" t="str">
        <f>IFERROR(__xludf.DUMMYFUNCTION("""COMPUTED_VALUE"""),"TSD")</f>
        <v>TSD</v>
      </c>
      <c r="C15" s="172" t="str">
        <f>IFERROR(__xludf.DUMMYFUNCTION("""COMPUTED_VALUE"""),"International Conference on Text, Speech and Dialog")</f>
        <v>International Conference on Text, Speech and Dialog</v>
      </c>
      <c r="D15" s="120">
        <f>IFERROR(__xludf.DUMMYFUNCTION("""COMPUTED_VALUE"""),16.0)</f>
        <v>16</v>
      </c>
      <c r="E15" s="147" t="str">
        <f>IFERROR(__xludf.DUMMYFUNCTION("""COMPUTED_VALUE"""),"https://scholar.google.com.br/citations?hl=pt-BR&amp;view_op=list_hcore&amp;venue=wfD8vcltKiQJ.2024")</f>
        <v>https://scholar.google.com.br/citations?hl=pt-BR&amp;view_op=list_hcore&amp;venue=wfD8vcltKiQJ.2024</v>
      </c>
      <c r="I15" s="60" t="str">
        <f>IFERROR(__xludf.DUMMYFUNCTION("""COMPUTED_VALUE"""),"https://dblp.org/db/conf/tsd/index.html")</f>
        <v>https://dblp.org/db/conf/tsd/index.html</v>
      </c>
    </row>
    <row r="16">
      <c r="A16" s="65" t="str">
        <f>IFERROR(__xludf.DUMMYFUNCTION("""COMPUTED_VALUE"""),"Top 20")</f>
        <v>Top 20</v>
      </c>
      <c r="B16" s="172" t="str">
        <f>IFERROR(__xludf.DUMMYFUNCTION("""COMPUTED_VALUE"""),"LAW")</f>
        <v>LAW</v>
      </c>
      <c r="C16" s="172" t="str">
        <f>IFERROR(__xludf.DUMMYFUNCTION("""COMPUTED_VALUE"""),"Linguistic Annotation Workshop")</f>
        <v>Linguistic Annotation Workshop</v>
      </c>
      <c r="D16" s="120">
        <f>IFERROR(__xludf.DUMMYFUNCTION("""COMPUTED_VALUE"""),8.0)</f>
        <v>8</v>
      </c>
      <c r="E16" s="147" t="str">
        <f>IFERROR(__xludf.DUMMYFUNCTION("""COMPUTED_VALUE"""),"https://scholar.google.com/scholar?as_q=&amp;as_epq=&amp;as_oq=&amp;as_eq=&amp;as_occt=any&amp;as_sauthors=&amp;as_publication=Linguistic+Annotation+Workshop&amp;as_ylo=2020&amp;as_yhi=2024&amp;hl=pt-BR&amp;as_sdt=0%2C5")</f>
        <v>https://scholar.google.com/scholar?as_q=&amp;as_epq=&amp;as_oq=&amp;as_eq=&amp;as_occt=any&amp;as_sauthors=&amp;as_publication=Linguistic+Annotation+Workshop&amp;as_ylo=2020&amp;as_yhi=2024&amp;hl=pt-BR&amp;as_sdt=0%2C5</v>
      </c>
      <c r="I16" s="60" t="str">
        <f>IFERROR(__xludf.DUMMYFUNCTION("""COMPUTED_VALUE"""),"https://dblp.org/db/conf/acllaw/index.html")</f>
        <v>https://dblp.org/db/conf/acllaw/index.html</v>
      </c>
    </row>
    <row r="17">
      <c r="A17" s="65" t="str">
        <f>IFERROR(__xludf.DUMMYFUNCTION("""COMPUTED_VALUE"""),"Top 20")</f>
        <v>Top 20</v>
      </c>
      <c r="B17" s="172" t="str">
        <f>IFERROR(__xludf.DUMMYFUNCTION("""COMPUTED_VALUE"""),"INLG")</f>
        <v>INLG</v>
      </c>
      <c r="C17" s="172" t="str">
        <f>IFERROR(__xludf.DUMMYFUNCTION("""COMPUTED_VALUE"""),"International Natural Language Generation conference")</f>
        <v>International Natural Language Generation conference</v>
      </c>
      <c r="D17" s="120">
        <f>IFERROR(__xludf.DUMMYFUNCTION("""COMPUTED_VALUE"""),29.0)</f>
        <v>29</v>
      </c>
      <c r="E17" s="147" t="str">
        <f>IFERROR(__xludf.DUMMYFUNCTION("""COMPUTED_VALUE"""),"https://scholar.google.com.br/citations?hl=pt-BR&amp;view_op=list_hcore&amp;venue=WcIBEdCoDl0J.2024")</f>
        <v>https://scholar.google.com.br/citations?hl=pt-BR&amp;view_op=list_hcore&amp;venue=WcIBEdCoDl0J.2024</v>
      </c>
      <c r="I17" s="60" t="str">
        <f>IFERROR(__xludf.DUMMYFUNCTION("""COMPUTED_VALUE"""),"https://dblp.org/db/conf/inlg/index.html")</f>
        <v>https://dblp.org/db/conf/inlg/index.html</v>
      </c>
    </row>
    <row r="18">
      <c r="A18" s="65" t="str">
        <f>IFERROR(__xludf.DUMMYFUNCTION("""COMPUTED_VALUE"""),"Top 20")</f>
        <v>Top 20</v>
      </c>
      <c r="B18" s="172" t="str">
        <f>IFERROR(__xludf.DUMMYFUNCTION("""COMPUTED_VALUE"""),"TAC")</f>
        <v>TAC</v>
      </c>
      <c r="C18" s="172" t="str">
        <f>IFERROR(__xludf.DUMMYFUNCTION("""COMPUTED_VALUE"""),"Text Analysis Conference")</f>
        <v>Text Analysis Conference</v>
      </c>
      <c r="D18" s="120">
        <f>IFERROR(__xludf.DUMMYFUNCTION("""COMPUTED_VALUE"""),3.0)</f>
        <v>3</v>
      </c>
      <c r="E18" s="147" t="str">
        <f>IFERROR(__xludf.DUMMYFUNCTION("""COMPUTED_VALUE"""),"https://scholar.google.com/scholar?as_q=&amp;as_epq=&amp;as_oq=&amp;as_eq=&amp;as_occt=any&amp;as_sauthors=&amp;as_publication=Text+Analysis+Conference&amp;as_ylo=2020&amp;as_yhi=2024&amp;hl=pt-BR&amp;as_sdt=0%2C5")</f>
        <v>https://scholar.google.com/scholar?as_q=&amp;as_epq=&amp;as_oq=&amp;as_eq=&amp;as_occt=any&amp;as_sauthors=&amp;as_publication=Text+Analysis+Conference&amp;as_ylo=2020&amp;as_yhi=2024&amp;hl=pt-BR&amp;as_sdt=0%2C5</v>
      </c>
      <c r="I18" s="60" t="str">
        <f>IFERROR(__xludf.DUMMYFUNCTION("""COMPUTED_VALUE"""),"https://dblp.org/db/conf/tac/index.html")</f>
        <v>https://dblp.org/db/conf/tac/index.html</v>
      </c>
    </row>
    <row r="19">
      <c r="A19" s="65" t="str">
        <f>IFERROR(__xludf.DUMMYFUNCTION("""COMPUTED_VALUE"""),"Top 20")</f>
        <v>Top 20</v>
      </c>
      <c r="B19" s="172" t="str">
        <f>IFERROR(__xludf.DUMMYFUNCTION("""COMPUTED_VALUE"""),"CL")</f>
        <v>CL</v>
      </c>
      <c r="C19" s="172" t="str">
        <f>IFERROR(__xludf.DUMMYFUNCTION("""COMPUTED_VALUE"""),"Corpus Linguistics Conference")</f>
        <v>Corpus Linguistics Conference</v>
      </c>
      <c r="D19" s="148">
        <f>IFERROR(__xludf.DUMMYFUNCTION("""COMPUTED_VALUE"""),2.0)</f>
        <v>2</v>
      </c>
      <c r="E19" s="147" t="str">
        <f>IFERROR(__xludf.DUMMYFUNCTION("""COMPUTED_VALUE"""),"https://scholar.google.com/scholar?as_q=&amp;as_epq=&amp;as_oq=&amp;as_eq=&amp;as_occt=any&amp;as_sauthors=&amp;as_publication=Corpus+Linguistics+Conference&amp;as_ylo=2020&amp;as_yhi=2024&amp;hl=pt-BR&amp;as_sdt=0%2C5")</f>
        <v>https://scholar.google.com/scholar?as_q=&amp;as_epq=&amp;as_oq=&amp;as_eq=&amp;as_occt=any&amp;as_sauthors=&amp;as_publication=Corpus+Linguistics+Conference&amp;as_ylo=2020&amp;as_yhi=2024&amp;hl=pt-BR&amp;as_sdt=0%2C5</v>
      </c>
    </row>
    <row r="20">
      <c r="A20" s="65" t="str">
        <f>IFERROR(__xludf.DUMMYFUNCTION("""COMPUTED_VALUE"""),"Top 20")</f>
        <v>Top 20</v>
      </c>
      <c r="B20" s="172" t="str">
        <f>IFERROR(__xludf.DUMMYFUNCTION("""COMPUTED_VALUE"""),"ELC")</f>
        <v>ELC</v>
      </c>
      <c r="C20" s="172" t="str">
        <f>IFERROR(__xludf.DUMMYFUNCTION("""COMPUTED_VALUE"""),"Encontro de Linguística de Corpus")</f>
        <v>Encontro de Linguística de Corpus</v>
      </c>
      <c r="D20" s="148">
        <f>IFERROR(__xludf.DUMMYFUNCTION("""COMPUTED_VALUE"""),0.0)</f>
        <v>0</v>
      </c>
      <c r="E20" s="147" t="str">
        <f>IFERROR(__xludf.DUMMYFUNCTION("""COMPUTED_VALUE"""),"https://scholar.google.com/scholar?as_q=&amp;as_epq=&amp;as_oq=&amp;as_eq=&amp;as_occt=any&amp;as_sauthors=&amp;as_publication=Encontro+de+Lingu%C3%ADstica+de+Corpus&amp;as_ylo=2020&amp;as_yhi=2024&amp;hl=pt-BR&amp;as_sdt=0%2C5")</f>
        <v>https://scholar.google.com/scholar?as_q=&amp;as_epq=&amp;as_oq=&amp;as_eq=&amp;as_occt=any&amp;as_sauthors=&amp;as_publication=Encontro+de+Lingu%C3%ADstica+de+Corpus&amp;as_ylo=2020&amp;as_yhi=2024&amp;hl=pt-BR&amp;as_sdt=0%2C5</v>
      </c>
    </row>
    <row r="21">
      <c r="A21" s="65" t="str">
        <f>IFERROR(__xludf.DUMMYFUNCTION("""COMPUTED_VALUE"""),"Top 20")</f>
        <v>Top 20</v>
      </c>
      <c r="B21" s="172" t="str">
        <f>IFERROR(__xludf.DUMMYFUNCTION("""COMPUTED_VALUE"""),"ONTOBRAS")</f>
        <v>ONTOBRAS</v>
      </c>
      <c r="C21" s="172" t="str">
        <f>IFERROR(__xludf.DUMMYFUNCTION("""COMPUTED_VALUE"""),"Seminar on Ontology Research in Brazil")</f>
        <v>Seminar on Ontology Research in Brazil</v>
      </c>
      <c r="D21" s="120">
        <f>IFERROR(__xludf.DUMMYFUNCTION("""COMPUTED_VALUE"""),6.0)</f>
        <v>6</v>
      </c>
      <c r="E21" s="147" t="str">
        <f>IFERROR(__xludf.DUMMYFUNCTION("""COMPUTED_VALUE"""),"https://scholar.google.com.br/citations?hl=pt-BR&amp;view_op=list_hcore&amp;venue=xUT2Pv_FWpIJ.2024")</f>
        <v>https://scholar.google.com.br/citations?hl=pt-BR&amp;view_op=list_hcore&amp;venue=xUT2Pv_FWpIJ.2024</v>
      </c>
      <c r="I21" s="60" t="str">
        <f>IFERROR(__xludf.DUMMYFUNCTION("""COMPUTED_VALUE"""),"https://dblp.org/db/conf/ontobras/index.html")</f>
        <v>https://dblp.org/db/conf/ontobras/index.html</v>
      </c>
    </row>
    <row r="22">
      <c r="A22" s="68" t="str">
        <f>IFERROR(__xludf.DUMMYFUNCTION("""COMPUTED_VALUE"""),"Eventos da Área")</f>
        <v>Eventos da Área</v>
      </c>
      <c r="B22" t="str">
        <f>IFERROR(__xludf.DUMMYFUNCTION("""COMPUTED_VALUE"""),"AAAI")</f>
        <v>AAAI</v>
      </c>
      <c r="C22" t="str">
        <f>IFERROR(__xludf.DUMMYFUNCTION("""COMPUTED_VALUE"""),"AAAI Conference on Artificial Intelligence")</f>
        <v>AAAI Conference on Artificial Intelligence</v>
      </c>
      <c r="D22">
        <f>IFERROR(__xludf.DUMMYFUNCTION("""COMPUTED_VALUE"""),220.0)</f>
        <v>220</v>
      </c>
      <c r="E22" s="147" t="str">
        <f>IFERROR(__xludf.DUMMYFUNCTION("""COMPUTED_VALUE"""),"https://scholar.google.com.br/citations?hl=pt-BR&amp;view_op=list_hcore&amp;venue=PV9sQN5dnPsJ.2024")</f>
        <v>https://scholar.google.com.br/citations?hl=pt-BR&amp;view_op=list_hcore&amp;venue=PV9sQN5dnPsJ.2024</v>
      </c>
      <c r="I22" s="60" t="str">
        <f>IFERROR(__xludf.DUMMYFUNCTION("""COMPUTED_VALUE"""),"https://dblp.org/db/conf/aaai/index.html")</f>
        <v>https://dblp.org/db/conf/aaai/index.html</v>
      </c>
    </row>
    <row r="23">
      <c r="A23" s="68" t="str">
        <f>IFERROR(__xludf.DUMMYFUNCTION("""COMPUTED_VALUE"""),"Eventos da Área")</f>
        <v>Eventos da Área</v>
      </c>
      <c r="B23" t="str">
        <f>IFERROR(__xludf.DUMMYFUNCTION("""COMPUTED_VALUE"""),"TREC")</f>
        <v>TREC</v>
      </c>
      <c r="C23" s="60" t="str">
        <f>IFERROR(__xludf.DUMMYFUNCTION("""COMPUTED_VALUE"""),"Text Retrieval Conference")</f>
        <v>Text Retrieval Conference</v>
      </c>
      <c r="D23">
        <f>IFERROR(__xludf.DUMMYFUNCTION("""COMPUTED_VALUE"""),17.0)</f>
        <v>17</v>
      </c>
      <c r="E23" s="147" t="str">
        <f>IFERROR(__xludf.DUMMYFUNCTION("""COMPUTED_VALUE"""),"https://scholar.google.com.br/citations?hl=pt-BR&amp;view_op=list_hcore&amp;venue=NVceRfB9aaoJ.2024")</f>
        <v>https://scholar.google.com.br/citations?hl=pt-BR&amp;view_op=list_hcore&amp;venue=NVceRfB9aaoJ.2024</v>
      </c>
      <c r="I23" s="60" t="str">
        <f>IFERROR(__xludf.DUMMYFUNCTION("""COMPUTED_VALUE"""),"https://dblp.org/db/conf/trec/index.html")</f>
        <v>https://dblp.org/db/conf/trec/index.html</v>
      </c>
    </row>
    <row r="24">
      <c r="A24" s="68" t="str">
        <f>IFERROR(__xludf.DUMMYFUNCTION("""COMPUTED_VALUE"""),"Eventos da Área")</f>
        <v>Eventos da Área</v>
      </c>
      <c r="B24" t="str">
        <f>IFERROR(__xludf.DUMMYFUNCTION("""COMPUTED_VALUE"""),"SIGDIAL")</f>
        <v>SIGDIAL</v>
      </c>
      <c r="C24" t="str">
        <f>IFERROR(__xludf.DUMMYFUNCTION("""COMPUTED_VALUE"""),"Annual Meeting of the Special Interest Group on Discourse and Dialogue")</f>
        <v>Annual Meeting of the Special Interest Group on Discourse and Dialogue</v>
      </c>
      <c r="D24">
        <f>IFERROR(__xludf.DUMMYFUNCTION("""COMPUTED_VALUE"""),31.0)</f>
        <v>31</v>
      </c>
      <c r="E24" s="147" t="str">
        <f>IFERROR(__xludf.DUMMYFUNCTION("""COMPUTED_VALUE"""),"https://scholar.google.com.br/citations?hl=pt-BR&amp;vq=eng_computationallinguistics&amp;view_op=list_hcore&amp;venue=9-0ktENZUpkJ.2024")</f>
        <v>https://scholar.google.com.br/citations?hl=pt-BR&amp;vq=eng_computationallinguistics&amp;view_op=list_hcore&amp;venue=9-0ktENZUpkJ.2024</v>
      </c>
      <c r="I24" s="60" t="str">
        <f>IFERROR(__xludf.DUMMYFUNCTION("""COMPUTED_VALUE"""),"https://dblp.org/db/conf/sigdial/index.html")</f>
        <v>https://dblp.org/db/conf/sigdial/index.html</v>
      </c>
    </row>
    <row r="25">
      <c r="A25" s="68" t="str">
        <f>IFERROR(__xludf.DUMMYFUNCTION("""COMPUTED_VALUE"""),"Eventos da Área")</f>
        <v>Eventos da Área</v>
      </c>
      <c r="B25" t="str">
        <f>IFERROR(__xludf.DUMMYFUNCTION("""COMPUTED_VALUE"""),"IWCS")</f>
        <v>IWCS</v>
      </c>
      <c r="C25" s="60" t="str">
        <f>IFERROR(__xludf.DUMMYFUNCTION("""COMPUTED_VALUE"""),"International Workshop on Computational Semantics")</f>
        <v>International Workshop on Computational Semantics</v>
      </c>
      <c r="D25">
        <f>IFERROR(__xludf.DUMMYFUNCTION("""COMPUTED_VALUE"""),0.0)</f>
        <v>0</v>
      </c>
      <c r="E25" s="147" t="str">
        <f>IFERROR(__xludf.DUMMYFUNCTION("""COMPUTED_VALUE"""),"https://scholar.google.com/scholar?as_q=&amp;as_epq=&amp;as_oq=&amp;as_eq=&amp;as_occt=any&amp;as_sauthors=&amp;as_publication=International+Workshop+on+Computational+Semantics&amp;as_ylo=2020&amp;as_yhi=2024&amp;hl=pt-BR&amp;as_sdt=0%2C5")</f>
        <v>https://scholar.google.com/scholar?as_q=&amp;as_epq=&amp;as_oq=&amp;as_eq=&amp;as_occt=any&amp;as_sauthors=&amp;as_publication=International+Workshop+on+Computational+Semantics&amp;as_ylo=2020&amp;as_yhi=2024&amp;hl=pt-BR&amp;as_sdt=0%2C5</v>
      </c>
      <c r="I25" s="60" t="str">
        <f>IFERROR(__xludf.DUMMYFUNCTION("""COMPUTED_VALUE"""),"https://dblp.org/db/conf/iwcs/index.html")</f>
        <v>https://dblp.org/db/conf/iwcs/index.html</v>
      </c>
    </row>
    <row r="26">
      <c r="A26" s="68" t="str">
        <f>IFERROR(__xludf.DUMMYFUNCTION("""COMPUTED_VALUE"""),"Eventos da Área")</f>
        <v>Eventos da Área</v>
      </c>
      <c r="B26" t="str">
        <f>IFERROR(__xludf.DUMMYFUNCTION("""COMPUTED_VALUE"""),"IJCAI")</f>
        <v>IJCAI</v>
      </c>
      <c r="C26" t="str">
        <f>IFERROR(__xludf.DUMMYFUNCTION("""COMPUTED_VALUE"""),"International Joint Conference on Artificial Intelligence")</f>
        <v>International Joint Conference on Artificial Intelligence</v>
      </c>
      <c r="D26">
        <f>IFERROR(__xludf.DUMMYFUNCTION("""COMPUTED_VALUE"""),136.0)</f>
        <v>136</v>
      </c>
      <c r="E26" s="147" t="str">
        <f>IFERROR(__xludf.DUMMYFUNCTION("""COMPUTED_VALUE"""),"https://scholar.google.com.br/citations?hl=pt-BR&amp;view_op=list_hcore&amp;venue=4HxsSu0PUdYJ.2024")</f>
        <v>https://scholar.google.com.br/citations?hl=pt-BR&amp;view_op=list_hcore&amp;venue=4HxsSu0PUdYJ.2024</v>
      </c>
      <c r="I26" s="60" t="str">
        <f>IFERROR(__xludf.DUMMYFUNCTION("""COMPUTED_VALUE"""),"https://dblp.org/db/conf/ijcai/index.html")</f>
        <v>https://dblp.org/db/conf/ijcai/index.html</v>
      </c>
    </row>
    <row r="27">
      <c r="A27" s="68" t="str">
        <f>IFERROR(__xludf.DUMMYFUNCTION("""COMPUTED_VALUE"""),"Eventos da Área")</f>
        <v>Eventos da Área</v>
      </c>
      <c r="B27" t="str">
        <f>IFERROR(__xludf.DUMMYFUNCTION("""COMPUTED_VALUE"""),"SIGIR")</f>
        <v>SIGIR</v>
      </c>
      <c r="C27" t="str">
        <f>IFERROR(__xludf.DUMMYFUNCTION("""COMPUTED_VALUE"""),"International ACM SIGIR Conference on Research and Development in Information Retrieval")</f>
        <v>International ACM SIGIR Conference on Research and Development in Information Retrieval</v>
      </c>
      <c r="D27">
        <f>IFERROR(__xludf.DUMMYFUNCTION("""COMPUTED_VALUE"""),103.0)</f>
        <v>103</v>
      </c>
      <c r="E27" s="147" t="str">
        <f>IFERROR(__xludf.DUMMYFUNCTION("""COMPUTED_VALUE"""),"https://scholar.google.com.br/citations?hl=pt-BR&amp;view_op=list_hcore&amp;venue=Gf4FWVmkfbwJ.2024")</f>
        <v>https://scholar.google.com.br/citations?hl=pt-BR&amp;view_op=list_hcore&amp;venue=Gf4FWVmkfbwJ.2024</v>
      </c>
      <c r="I27" s="60" t="str">
        <f>IFERROR(__xludf.DUMMYFUNCTION("""COMPUTED_VALUE"""),"https://dblp.org/db/conf/sigir/index.html")</f>
        <v>https://dblp.org/db/conf/sigir/index.html</v>
      </c>
    </row>
    <row r="28">
      <c r="A28" s="68" t="str">
        <f>IFERROR(__xludf.DUMMYFUNCTION("""COMPUTED_VALUE"""),"Eventos da Área")</f>
        <v>Eventos da Área</v>
      </c>
      <c r="B28" t="str">
        <f>IFERROR(__xludf.DUMMYFUNCTION("""COMPUTED_VALUE"""),"CLEF")</f>
        <v>CLEF</v>
      </c>
      <c r="C28" t="str">
        <f>IFERROR(__xludf.DUMMYFUNCTION("""COMPUTED_VALUE"""),"Conference and Labs of the Evaluation Forum")</f>
        <v>Conference and Labs of the Evaluation Forum</v>
      </c>
      <c r="D28">
        <f>IFERROR(__xludf.DUMMYFUNCTION("""COMPUTED_VALUE"""),16.0)</f>
        <v>16</v>
      </c>
      <c r="E28" s="147" t="str">
        <f>IFERROR(__xludf.DUMMYFUNCTION("""COMPUTED_VALUE"""),"https://scholar.google.com/scholar?as_q=&amp;as_epq=&amp;as_oq=&amp;as_eq=&amp;as_occt=any&amp;as_sauthors=&amp;as_publication=Conference+and+Labs+of+the+Evaluation+Forum&amp;as_ylo=2020&amp;as_yhi=2024&amp;hl=pt-BR&amp;as_sdt=0%2C5")</f>
        <v>https://scholar.google.com/scholar?as_q=&amp;as_epq=&amp;as_oq=&amp;as_eq=&amp;as_occt=any&amp;as_sauthors=&amp;as_publication=Conference+and+Labs+of+the+Evaluation+Forum&amp;as_ylo=2020&amp;as_yhi=2024&amp;hl=pt-BR&amp;as_sdt=0%2C5</v>
      </c>
      <c r="I28" s="60" t="str">
        <f>IFERROR(__xludf.DUMMYFUNCTION("""COMPUTED_VALUE"""),"https://dblp.org/db/conf/clef/index.html")</f>
        <v>https://dblp.org/db/conf/clef/index.html</v>
      </c>
    </row>
    <row r="29">
      <c r="A29" s="68" t="str">
        <f>IFERROR(__xludf.DUMMYFUNCTION("""COMPUTED_VALUE"""),"Eventos da Área")</f>
        <v>Eventos da Área</v>
      </c>
      <c r="B29" t="str">
        <f>IFERROR(__xludf.DUMMYFUNCTION("""COMPUTED_VALUE"""),"MICAI")</f>
        <v>MICAI</v>
      </c>
      <c r="C29" t="str">
        <f>IFERROR(__xludf.DUMMYFUNCTION("""COMPUTED_VALUE"""),"Mexican International Conference on Artificial Intelligence")</f>
        <v>Mexican International Conference on Artificial Intelligence</v>
      </c>
      <c r="D29">
        <f>IFERROR(__xludf.DUMMYFUNCTION("""COMPUTED_VALUE"""),12.0)</f>
        <v>12</v>
      </c>
      <c r="E29" s="147" t="str">
        <f>IFERROR(__xludf.DUMMYFUNCTION("""COMPUTED_VALUE"""),"https://scholar.google.com.br/citations?hl=pt-BR&amp;view_op=list_hcore&amp;venue=uhZEgJcD4mIJ.2024")</f>
        <v>https://scholar.google.com.br/citations?hl=pt-BR&amp;view_op=list_hcore&amp;venue=uhZEgJcD4mIJ.2024</v>
      </c>
      <c r="I29" s="60" t="str">
        <f>IFERROR(__xludf.DUMMYFUNCTION("""COMPUTED_VALUE"""),"https://dblp.org/db/conf/micai/index.html")</f>
        <v>https://dblp.org/db/conf/micai/index.html</v>
      </c>
    </row>
    <row r="30">
      <c r="A30" s="68" t="str">
        <f>IFERROR(__xludf.DUMMYFUNCTION("""COMPUTED_VALUE"""),"Eventos da Área")</f>
        <v>Eventos da Área</v>
      </c>
      <c r="B30" t="str">
        <f>IFERROR(__xludf.DUMMYFUNCTION("""COMPUTED_VALUE"""),"NLDB")</f>
        <v>NLDB</v>
      </c>
      <c r="C30" t="str">
        <f>IFERROR(__xludf.DUMMYFUNCTION("""COMPUTED_VALUE"""),"International Conference on Application of Natural Language to Information Systems")</f>
        <v>International Conference on Application of Natural Language to Information Systems</v>
      </c>
      <c r="D30">
        <f>IFERROR(__xludf.DUMMYFUNCTION("""COMPUTED_VALUE"""),18.0)</f>
        <v>18</v>
      </c>
      <c r="E30" s="147" t="str">
        <f>IFERROR(__xludf.DUMMYFUNCTION("""COMPUTED_VALUE"""),"https://scholar.google.com.br/citations?hl=pt-BR&amp;view_op=list_hcore&amp;venue=4YrITWKg3KAJ.2024")</f>
        <v>https://scholar.google.com.br/citations?hl=pt-BR&amp;view_op=list_hcore&amp;venue=4YrITWKg3KAJ.2024</v>
      </c>
      <c r="I30" s="60" t="str">
        <f>IFERROR(__xludf.DUMMYFUNCTION("""COMPUTED_VALUE"""),"https://dblp.org/db/conf/nldb/index.html")</f>
        <v>https://dblp.org/db/conf/nldb/index.html</v>
      </c>
    </row>
    <row r="31">
      <c r="A31" s="68" t="str">
        <f>IFERROR(__xludf.DUMMYFUNCTION("""COMPUTED_VALUE"""),"Eventos da Área")</f>
        <v>Eventos da Área</v>
      </c>
      <c r="B31" t="str">
        <f>IFERROR(__xludf.DUMMYFUNCTION("""COMPUTED_VALUE"""),"CICLING")</f>
        <v>CICLING</v>
      </c>
      <c r="C31" t="str">
        <f>IFERROR(__xludf.DUMMYFUNCTION("""COMPUTED_VALUE"""),"International Conference on Intelligent Text Processing and Computational Linguistics")</f>
        <v>International Conference on Intelligent Text Processing and Computational Linguistics</v>
      </c>
      <c r="D31">
        <f>IFERROR(__xludf.DUMMYFUNCTION("""COMPUTED_VALUE"""),0.0)</f>
        <v>0</v>
      </c>
      <c r="E31" s="147" t="str">
        <f>IFERROR(__xludf.DUMMYFUNCTION("""COMPUTED_VALUE"""),"https://scholar.google.com/scholar?as_q=&amp;as_epq=&amp;as_oq=&amp;as_eq=&amp;as_occt=any&amp;as_sauthors=&amp;as_publication=International+Conference+on+Intelligent+Text+Processing+and+Computational+Linguistics&amp;as_ylo=2020&amp;as_yhi=2024&amp;hl=pt-BR&amp;as_sdt=0%2C5")</f>
        <v>https://scholar.google.com/scholar?as_q=&amp;as_epq=&amp;as_oq=&amp;as_eq=&amp;as_occt=any&amp;as_sauthors=&amp;as_publication=International+Conference+on+Intelligent+Text+Processing+and+Computational+Linguistics&amp;as_ylo=2020&amp;as_yhi=2024&amp;hl=pt-BR&amp;as_sdt=0%2C5</v>
      </c>
      <c r="I31" s="60" t="str">
        <f>IFERROR(__xludf.DUMMYFUNCTION("""COMPUTED_VALUE"""),"https://dblp.org/db/conf/cicling/index.html")</f>
        <v>https://dblp.org/db/conf/cicling/index.html</v>
      </c>
    </row>
    <row r="32">
      <c r="A32" s="68" t="str">
        <f>IFERROR(__xludf.DUMMYFUNCTION("""COMPUTED_VALUE"""),"Eventos da Área")</f>
        <v>Eventos da Área</v>
      </c>
      <c r="B32" t="str">
        <f>IFERROR(__xludf.DUMMYFUNCTION("""COMPUTED_VALUE"""),"BRASNAM")</f>
        <v>BRASNAM</v>
      </c>
      <c r="C32" t="str">
        <f>IFERROR(__xludf.DUMMYFUNCTION("""COMPUTED_VALUE"""),"Brazilian Workshop on Social Network Analysis and Mining")</f>
        <v>Brazilian Workshop on Social Network Analysis and Mining</v>
      </c>
      <c r="D32">
        <f>IFERROR(__xludf.DUMMYFUNCTION("""COMPUTED_VALUE"""),8.0)</f>
        <v>8</v>
      </c>
      <c r="E32" s="147" t="str">
        <f>IFERROR(__xludf.DUMMYFUNCTION("""COMPUTED_VALUE"""),"https://scholar.google.com.br/citations?hl=pt-BR&amp;view_op=list_hcore&amp;venue=uCHdYLLURp0J.2024")</f>
        <v>https://scholar.google.com.br/citations?hl=pt-BR&amp;view_op=list_hcore&amp;venue=uCHdYLLURp0J.2024</v>
      </c>
    </row>
    <row r="33">
      <c r="A33" s="68" t="str">
        <f>IFERROR(__xludf.DUMMYFUNCTION("""COMPUTED_VALUE"""),"Eventos da Área")</f>
        <v>Eventos da Área</v>
      </c>
      <c r="B33" t="str">
        <f>IFERROR(__xludf.DUMMYFUNCTION("""COMPUTED_VALUE"""),"IBERSPEECH")</f>
        <v>IBERSPEECH</v>
      </c>
      <c r="C33" t="str">
        <f>IFERROR(__xludf.DUMMYFUNCTION("""COMPUTED_VALUE"""),"IberSPEECH Conference")</f>
        <v>IberSPEECH Conference</v>
      </c>
      <c r="D33">
        <f>IFERROR(__xludf.DUMMYFUNCTION("""COMPUTED_VALUE"""),1.0)</f>
        <v>1</v>
      </c>
      <c r="E33" s="147" t="str">
        <f>IFERROR(__xludf.DUMMYFUNCTION("""COMPUTED_VALUE"""),"https://scholar.google.com/scholar?as_q=&amp;as_epq=&amp;as_oq=&amp;as_eq=&amp;as_occt=any&amp;as_sauthors=&amp;as_publication=IberSPEECH+Conference&amp;as_ylo=2020&amp;as_yhi=2024&amp;hl=pt-BR&amp;as_sdt=0%2C5")</f>
        <v>https://scholar.google.com/scholar?as_q=&amp;as_epq=&amp;as_oq=&amp;as_eq=&amp;as_occt=any&amp;as_sauthors=&amp;as_publication=IberSPEECH+Conference&amp;as_ylo=2020&amp;as_yhi=2024&amp;hl=pt-BR&amp;as_sdt=0%2C5</v>
      </c>
      <c r="I33" s="60" t="str">
        <f>IFERROR(__xludf.DUMMYFUNCTION("""COMPUTED_VALUE"""),"https://dblp.org/db/conf/iberspeech/index.html")</f>
        <v>https://dblp.org/db/conf/iberspeech/index.html</v>
      </c>
    </row>
    <row r="34">
      <c r="A34" s="68" t="str">
        <f>IFERROR(__xludf.DUMMYFUNCTION("""COMPUTED_VALUE"""),"Eventos da Área")</f>
        <v>Eventos da Área</v>
      </c>
    </row>
    <row r="35">
      <c r="A35" s="68" t="str">
        <f>IFERROR(__xludf.DUMMYFUNCTION("""COMPUTED_VALUE"""),"Eventos da Área")</f>
        <v>Eventos da Área</v>
      </c>
    </row>
    <row r="36">
      <c r="A36" s="68" t="str">
        <f>IFERROR(__xludf.DUMMYFUNCTION("""COMPUTED_VALUE"""),"Eventos da Área")</f>
        <v>Eventos da Área</v>
      </c>
    </row>
    <row r="37">
      <c r="A37" s="68" t="str">
        <f>IFERROR(__xludf.DUMMYFUNCTION("""COMPUTED_VALUE"""),"Eventos da Área")</f>
        <v>Eventos da Área</v>
      </c>
    </row>
    <row r="38">
      <c r="A38" s="68" t="str">
        <f>IFERROR(__xludf.DUMMYFUNCTION("""COMPUTED_VALUE"""),"Eventos da Área")</f>
        <v>Eventos da Área</v>
      </c>
    </row>
    <row r="39">
      <c r="A39" s="68" t="str">
        <f>IFERROR(__xludf.DUMMYFUNCTION("""COMPUTED_VALUE"""),"Eventos da Área")</f>
        <v>Eventos da Área</v>
      </c>
    </row>
    <row r="40">
      <c r="A40" s="68" t="str">
        <f>IFERROR(__xludf.DUMMYFUNCTION("""COMPUTED_VALUE"""),"Eventos da Área")</f>
        <v>Eventos da Área</v>
      </c>
    </row>
    <row r="41">
      <c r="A41" s="68" t="str">
        <f>IFERROR(__xludf.DUMMYFUNCTION("""COMPUTED_VALUE"""),"Eventos da Área")</f>
        <v>Eventos da Área</v>
      </c>
    </row>
    <row r="42">
      <c r="A42" s="68" t="str">
        <f>IFERROR(__xludf.DUMMYFUNCTION("""COMPUTED_VALUE"""),"Eventos da Área")</f>
        <v>Eventos da Área</v>
      </c>
    </row>
    <row r="43">
      <c r="A43" s="68" t="str">
        <f>IFERROR(__xludf.DUMMYFUNCTION("""COMPUTED_VALUE"""),"Eventos da Área")</f>
        <v>Eventos da Área</v>
      </c>
    </row>
    <row r="44">
      <c r="A44" s="68" t="str">
        <f>IFERROR(__xludf.DUMMYFUNCTION("""COMPUTED_VALUE"""),"Eventos da Área")</f>
        <v>Eventos da Área</v>
      </c>
    </row>
    <row r="45">
      <c r="A45" s="68" t="str">
        <f>IFERROR(__xludf.DUMMYFUNCTION("""COMPUTED_VALUE"""),"Eventos da Área")</f>
        <v>Eventos da Área</v>
      </c>
    </row>
    <row r="46">
      <c r="A46" s="68" t="str">
        <f>IFERROR(__xludf.DUMMYFUNCTION("""COMPUTED_VALUE"""),"Eventos da Área")</f>
        <v>Eventos da Área</v>
      </c>
    </row>
    <row r="47">
      <c r="A47" s="68" t="str">
        <f>IFERROR(__xludf.DUMMYFUNCTION("""COMPUTED_VALUE"""),"Eventos da Área")</f>
        <v>Eventos da Área</v>
      </c>
    </row>
    <row r="48">
      <c r="A48" s="68" t="str">
        <f>IFERROR(__xludf.DUMMYFUNCTION("""COMPUTED_VALUE"""),"Eventos da Área")</f>
        <v>Eventos da Área</v>
      </c>
    </row>
    <row r="49">
      <c r="A49" s="68" t="str">
        <f>IFERROR(__xludf.DUMMYFUNCTION("""COMPUTED_VALUE"""),"Eventos da Área")</f>
        <v>Eventos da Área</v>
      </c>
    </row>
    <row r="50">
      <c r="A50" s="68" t="str">
        <f>IFERROR(__xludf.DUMMYFUNCTION("""COMPUTED_VALUE"""),"Eventos da Área")</f>
        <v>Eventos da Área</v>
      </c>
    </row>
    <row r="51">
      <c r="A51" s="68" t="str">
        <f>IFERROR(__xludf.DUMMYFUNCTION("""COMPUTED_VALUE"""),"Eventos da Área")</f>
        <v>Eventos da Área</v>
      </c>
    </row>
    <row r="52">
      <c r="A52" s="68" t="str">
        <f>IFERROR(__xludf.DUMMYFUNCTION("""COMPUTED_VALUE"""),"Eventos da Área")</f>
        <v>Eventos da Área</v>
      </c>
    </row>
    <row r="53">
      <c r="A53" s="68" t="str">
        <f>IFERROR(__xludf.DUMMYFUNCTION("""COMPUTED_VALUE"""),"Eventos da Área")</f>
        <v>Eventos da Área</v>
      </c>
    </row>
    <row r="54">
      <c r="A54" s="68" t="str">
        <f>IFERROR(__xludf.DUMMYFUNCTION("""COMPUTED_VALUE"""),"Eventos da Área")</f>
        <v>Eventos da Área</v>
      </c>
    </row>
    <row r="55">
      <c r="A55" s="68" t="str">
        <f>IFERROR(__xludf.DUMMYFUNCTION("""COMPUTED_VALUE"""),"Eventos da Área")</f>
        <v>Eventos da Área</v>
      </c>
    </row>
    <row r="56">
      <c r="A56" s="68" t="str">
        <f>IFERROR(__xludf.DUMMYFUNCTION("""COMPUTED_VALUE"""),"Eventos da Área")</f>
        <v>Eventos da Área</v>
      </c>
    </row>
    <row r="57">
      <c r="A57" s="68" t="str">
        <f>IFERROR(__xludf.DUMMYFUNCTION("""COMPUTED_VALUE"""),"Eventos da Área")</f>
        <v>Eventos da Área</v>
      </c>
    </row>
    <row r="58">
      <c r="A58" s="68" t="str">
        <f>IFERROR(__xludf.DUMMYFUNCTION("""COMPUTED_VALUE"""),"Eventos da Área")</f>
        <v>Eventos da Área</v>
      </c>
    </row>
    <row r="59">
      <c r="A59" s="68" t="str">
        <f>IFERROR(__xludf.DUMMYFUNCTION("""COMPUTED_VALUE"""),"Eventos da Área")</f>
        <v>Eventos da Área</v>
      </c>
    </row>
    <row r="60">
      <c r="A60" s="68" t="str">
        <f>IFERROR(__xludf.DUMMYFUNCTION("""COMPUTED_VALUE"""),"Eventos da Área")</f>
        <v>Eventos da Área</v>
      </c>
    </row>
    <row r="61">
      <c r="A61" s="68" t="str">
        <f>IFERROR(__xludf.DUMMYFUNCTION("""COMPUTED_VALUE"""),"Eventos da Área")</f>
        <v>Eventos da Área</v>
      </c>
    </row>
    <row r="62">
      <c r="A62" s="68" t="str">
        <f>IFERROR(__xludf.DUMMYFUNCTION("""COMPUTED_VALUE"""),"Eventos da Área")</f>
        <v>Eventos da Área</v>
      </c>
    </row>
    <row r="63">
      <c r="A63" s="68" t="str">
        <f>IFERROR(__xludf.DUMMYFUNCTION("""COMPUTED_VALUE"""),"Eventos da Área")</f>
        <v>Eventos da Área</v>
      </c>
    </row>
    <row r="64">
      <c r="A64" s="68" t="str">
        <f>IFERROR(__xludf.DUMMYFUNCTION("""COMPUTED_VALUE"""),"Eventos da Área")</f>
        <v>Eventos da Área</v>
      </c>
    </row>
    <row r="65">
      <c r="A65" s="68" t="str">
        <f>IFERROR(__xludf.DUMMYFUNCTION("""COMPUTED_VALUE"""),"Eventos da Área")</f>
        <v>Eventos da Área</v>
      </c>
    </row>
    <row r="66">
      <c r="A66" s="68" t="str">
        <f>IFERROR(__xludf.DUMMYFUNCTION("""COMPUTED_VALUE"""),"Eventos da Área")</f>
        <v>Eventos da Área</v>
      </c>
    </row>
    <row r="67">
      <c r="A67" s="68" t="str">
        <f>IFERROR(__xludf.DUMMYFUNCTION("""COMPUTED_VALUE"""),"Eventos da Área")</f>
        <v>Eventos da Área</v>
      </c>
    </row>
    <row r="68">
      <c r="A68" s="68" t="str">
        <f>IFERROR(__xludf.DUMMYFUNCTION("""COMPUTED_VALUE"""),"Eventos da Área")</f>
        <v>Eventos da Área</v>
      </c>
    </row>
    <row r="69">
      <c r="A69" s="68" t="str">
        <f>IFERROR(__xludf.DUMMYFUNCTION("""COMPUTED_VALUE"""),"Eventos da Área")</f>
        <v>Eventos da Área</v>
      </c>
    </row>
    <row r="70">
      <c r="A70" s="68" t="str">
        <f>IFERROR(__xludf.DUMMYFUNCTION("""COMPUTED_VALUE"""),"Eventos da Área")</f>
        <v>Eventos da Área</v>
      </c>
    </row>
    <row r="71">
      <c r="A71" s="68" t="str">
        <f>IFERROR(__xludf.DUMMYFUNCTION("""COMPUTED_VALUE"""),"Eventos da Área")</f>
        <v>Eventos da Área</v>
      </c>
    </row>
    <row r="72">
      <c r="A72" s="68" t="str">
        <f>IFERROR(__xludf.DUMMYFUNCTION("""COMPUTED_VALUE"""),"Eventos da Área")</f>
        <v>Eventos da Área</v>
      </c>
    </row>
    <row r="73">
      <c r="A73" s="68" t="str">
        <f>IFERROR(__xludf.DUMMYFUNCTION("""COMPUTED_VALUE"""),"Eventos da Área")</f>
        <v>Eventos da Área</v>
      </c>
    </row>
    <row r="74">
      <c r="A74" s="68" t="str">
        <f>IFERROR(__xludf.DUMMYFUNCTION("""COMPUTED_VALUE"""),"Eventos da Área")</f>
        <v>Eventos da Área</v>
      </c>
    </row>
    <row r="75">
      <c r="A75" s="68" t="str">
        <f>IFERROR(__xludf.DUMMYFUNCTION("""COMPUTED_VALUE"""),"Eventos da Área")</f>
        <v>Eventos da Área</v>
      </c>
    </row>
    <row r="76">
      <c r="A76" s="68" t="str">
        <f>IFERROR(__xludf.DUMMYFUNCTION("""COMPUTED_VALUE"""),"Eventos da Área")</f>
        <v>Eventos da Área</v>
      </c>
    </row>
    <row r="77">
      <c r="A77" s="68" t="str">
        <f>IFERROR(__xludf.DUMMYFUNCTION("""COMPUTED_VALUE"""),"Eventos da Área")</f>
        <v>Eventos da Área</v>
      </c>
    </row>
    <row r="78">
      <c r="A78" s="68" t="str">
        <f>IFERROR(__xludf.DUMMYFUNCTION("""COMPUTED_VALUE"""),"Eventos da Área")</f>
        <v>Eventos da Área</v>
      </c>
    </row>
    <row r="79">
      <c r="A79" s="68" t="str">
        <f>IFERROR(__xludf.DUMMYFUNCTION("""COMPUTED_VALUE"""),"Eventos da Área")</f>
        <v>Eventos da Área</v>
      </c>
    </row>
    <row r="80">
      <c r="A80" s="68" t="str">
        <f>IFERROR(__xludf.DUMMYFUNCTION("""COMPUTED_VALUE"""),"Eventos da Área")</f>
        <v>Eventos da Área</v>
      </c>
    </row>
    <row r="81">
      <c r="A81" s="68" t="str">
        <f>IFERROR(__xludf.DUMMYFUNCTION("""COMPUTED_VALUE"""),"Eventos da Área")</f>
        <v>Eventos da Área</v>
      </c>
    </row>
    <row r="82">
      <c r="A82" s="68" t="str">
        <f>IFERROR(__xludf.DUMMYFUNCTION("""COMPUTED_VALUE"""),"Eventos da Área")</f>
        <v>Eventos da Área</v>
      </c>
    </row>
    <row r="83">
      <c r="A83" s="68" t="str">
        <f>IFERROR(__xludf.DUMMYFUNCTION("""COMPUTED_VALUE"""),"Eventos da Área")</f>
        <v>Eventos da Área</v>
      </c>
    </row>
    <row r="84">
      <c r="A84" s="68" t="str">
        <f>IFERROR(__xludf.DUMMYFUNCTION("""COMPUTED_VALUE"""),"Eventos da Área")</f>
        <v>Eventos da Área</v>
      </c>
    </row>
    <row r="85">
      <c r="A85" s="68" t="str">
        <f>IFERROR(__xludf.DUMMYFUNCTION("""COMPUTED_VALUE"""),"Eventos da Área")</f>
        <v>Eventos da Área</v>
      </c>
    </row>
    <row r="86">
      <c r="A86" s="68" t="str">
        <f>IFERROR(__xludf.DUMMYFUNCTION("""COMPUTED_VALUE"""),"Eventos da Área")</f>
        <v>Eventos da Área</v>
      </c>
    </row>
    <row r="87">
      <c r="A87" s="68" t="str">
        <f>IFERROR(__xludf.DUMMYFUNCTION("""COMPUTED_VALUE"""),"Eventos da Área")</f>
        <v>Eventos da Área</v>
      </c>
    </row>
    <row r="88">
      <c r="A88" s="68" t="str">
        <f>IFERROR(__xludf.DUMMYFUNCTION("""COMPUTED_VALUE"""),"Eventos da Área")</f>
        <v>Eventos da Área</v>
      </c>
    </row>
    <row r="89">
      <c r="A89" s="68" t="str">
        <f>IFERROR(__xludf.DUMMYFUNCTION("""COMPUTED_VALUE"""),"Eventos da Área")</f>
        <v>Eventos da Área</v>
      </c>
    </row>
    <row r="90">
      <c r="A90" s="68" t="str">
        <f>IFERROR(__xludf.DUMMYFUNCTION("""COMPUTED_VALUE"""),"Eventos da Área")</f>
        <v>Eventos da Área</v>
      </c>
    </row>
    <row r="91">
      <c r="A91" s="68" t="str">
        <f>IFERROR(__xludf.DUMMYFUNCTION("""COMPUTED_VALUE"""),"Eventos da Área")</f>
        <v>Eventos da Área</v>
      </c>
    </row>
    <row r="92">
      <c r="A92" s="68" t="str">
        <f>IFERROR(__xludf.DUMMYFUNCTION("""COMPUTED_VALUE"""),"Eventos da Área")</f>
        <v>Eventos da Área</v>
      </c>
    </row>
    <row r="93">
      <c r="A93" s="68" t="str">
        <f>IFERROR(__xludf.DUMMYFUNCTION("""COMPUTED_VALUE"""),"Eventos da Área")</f>
        <v>Eventos da Área</v>
      </c>
    </row>
    <row r="94">
      <c r="A94" s="68" t="str">
        <f>IFERROR(__xludf.DUMMYFUNCTION("""COMPUTED_VALUE"""),"Eventos da Área")</f>
        <v>Eventos da Área</v>
      </c>
    </row>
    <row r="95">
      <c r="A95" s="68" t="str">
        <f>IFERROR(__xludf.DUMMYFUNCTION("""COMPUTED_VALUE"""),"Eventos da Área")</f>
        <v>Eventos da Área</v>
      </c>
    </row>
    <row r="96">
      <c r="A96" s="68" t="str">
        <f>IFERROR(__xludf.DUMMYFUNCTION("""COMPUTED_VALUE"""),"Eventos da Área")</f>
        <v>Eventos da Área</v>
      </c>
    </row>
    <row r="97">
      <c r="A97" s="68" t="str">
        <f>IFERROR(__xludf.DUMMYFUNCTION("""COMPUTED_VALUE"""),"Eventos da Área")</f>
        <v>Eventos da Área</v>
      </c>
    </row>
    <row r="98">
      <c r="A98" s="68" t="str">
        <f>IFERROR(__xludf.DUMMYFUNCTION("""COMPUTED_VALUE"""),"Eventos da Área")</f>
        <v>Eventos da Área</v>
      </c>
    </row>
    <row r="99">
      <c r="A99" s="68" t="str">
        <f>IFERROR(__xludf.DUMMYFUNCTION("""COMPUTED_VALUE"""),"Eventos da Área")</f>
        <v>Eventos da Área</v>
      </c>
    </row>
    <row r="100">
      <c r="A100" s="68" t="str">
        <f>IFERROR(__xludf.DUMMYFUNCTION("""COMPUTED_VALUE"""),"Eventos da Área")</f>
        <v>Eventos da Área</v>
      </c>
    </row>
    <row r="101">
      <c r="A101" s="68" t="str">
        <f>IFERROR(__xludf.DUMMYFUNCTION("""COMPUTED_VALUE"""),"Eventos da Área")</f>
        <v>Eventos da Área</v>
      </c>
    </row>
    <row r="102">
      <c r="A102" t="str">
        <f>IFERROR(__xludf.DUMMYFUNCTION("""COMPUTED_VALUE"""),"Eventos da Área")</f>
        <v>Eventos da Área</v>
      </c>
    </row>
    <row r="103">
      <c r="A103" t="str">
        <f>IFERROR(__xludf.DUMMYFUNCTION("""COMPUTED_VALUE"""),"Eventos da Área")</f>
        <v>Eventos da Área</v>
      </c>
    </row>
    <row r="104">
      <c r="A104" t="str">
        <f>IFERROR(__xludf.DUMMYFUNCTION("""COMPUTED_VALUE"""),"Eventos da Área")</f>
        <v>Eventos da Área</v>
      </c>
    </row>
    <row r="105">
      <c r="A105" t="str">
        <f>IFERROR(__xludf.DUMMYFUNCTION("""COMPUTED_VALUE"""),"Eventos da Área")</f>
        <v>Eventos da Área</v>
      </c>
    </row>
    <row r="106">
      <c r="A106" t="str">
        <f>IFERROR(__xludf.DUMMYFUNCTION("""COMPUTED_VALUE"""),"Eventos da Área")</f>
        <v>Eventos da Área</v>
      </c>
    </row>
    <row r="107">
      <c r="A107" t="str">
        <f>IFERROR(__xludf.DUMMYFUNCTION("""COMPUTED_VALUE"""),"Eventos da Área")</f>
        <v>Eventos da Área</v>
      </c>
    </row>
    <row r="108">
      <c r="A108" t="str">
        <f>IFERROR(__xludf.DUMMYFUNCTION("""COMPUTED_VALUE"""),"Eventos da Área")</f>
        <v>Eventos da Área</v>
      </c>
    </row>
    <row r="109">
      <c r="A109" t="str">
        <f>IFERROR(__xludf.DUMMYFUNCTION("""COMPUTED_VALUE"""),"Eventos da Área")</f>
        <v>Eventos da Área</v>
      </c>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E10"/>
    <hyperlink r:id="rId18" ref="I10"/>
    <hyperlink r:id="rId19" ref="J10"/>
    <hyperlink r:id="rId20" ref="E11"/>
    <hyperlink r:id="rId21" ref="I11"/>
    <hyperlink r:id="rId22" ref="E12"/>
    <hyperlink r:id="rId23" ref="I12"/>
    <hyperlink r:id="rId24" ref="E13"/>
    <hyperlink r:id="rId25" ref="I13"/>
    <hyperlink r:id="rId26" ref="E14"/>
    <hyperlink r:id="rId27" ref="I14"/>
    <hyperlink r:id="rId28" ref="E15"/>
    <hyperlink r:id="rId29" ref="I15"/>
    <hyperlink r:id="rId30" ref="E16"/>
    <hyperlink r:id="rId31" ref="I16"/>
    <hyperlink r:id="rId32" ref="E17"/>
    <hyperlink r:id="rId33" ref="I17"/>
    <hyperlink r:id="rId34" ref="E18"/>
    <hyperlink r:id="rId35" ref="I18"/>
    <hyperlink r:id="rId36" ref="E19"/>
    <hyperlink r:id="rId37" ref="E20"/>
    <hyperlink r:id="rId38" ref="E21"/>
    <hyperlink r:id="rId39" ref="I21"/>
    <hyperlink r:id="rId40" ref="E22"/>
    <hyperlink r:id="rId41" ref="I22"/>
    <hyperlink r:id="rId42" ref="C23"/>
    <hyperlink r:id="rId43" ref="E23"/>
    <hyperlink r:id="rId44" ref="I23"/>
    <hyperlink r:id="rId45" ref="E24"/>
    <hyperlink r:id="rId46" ref="I24"/>
    <hyperlink r:id="rId47" ref="C25"/>
    <hyperlink r:id="rId48" ref="E25"/>
    <hyperlink r:id="rId49" ref="I25"/>
    <hyperlink r:id="rId50" ref="E26"/>
    <hyperlink r:id="rId51" ref="I26"/>
    <hyperlink r:id="rId52" ref="E27"/>
    <hyperlink r:id="rId53" ref="I27"/>
    <hyperlink r:id="rId54" ref="E28"/>
    <hyperlink r:id="rId55" ref="I28"/>
    <hyperlink r:id="rId56" ref="E29"/>
    <hyperlink r:id="rId57" ref="I29"/>
    <hyperlink r:id="rId58" ref="E30"/>
    <hyperlink r:id="rId59" ref="I30"/>
    <hyperlink r:id="rId60" ref="E31"/>
    <hyperlink r:id="rId61" ref="I31"/>
    <hyperlink r:id="rId62" ref="E32"/>
    <hyperlink r:id="rId63" ref="E33"/>
    <hyperlink r:id="rId64" ref="I33"/>
  </hyperlinks>
  <drawing r:id="rId65"/>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5.63"/>
    <col customWidth="1" min="5" max="5" width="75.38"/>
    <col customWidth="1" min="6" max="6" width="12.63"/>
    <col customWidth="1" min="7" max="7" width="29.13"/>
    <col customWidth="1" min="8" max="8" width="29.63"/>
    <col customWidth="1" min="9" max="9" width="28.63"/>
    <col customWidth="1" min="10" max="10" width="30.5"/>
  </cols>
  <sheetData>
    <row r="1">
      <c r="A1" s="1" t="str">
        <f>IFERROR(__xludf.DUMMYFUNCTION("importrange(""https://docs.google.com/spreadsheets/d/15n8OVsWwfiO35o5tgedlNtdZbyPtoMRbxXmKYp8KJAM/edit#gid=553737549"",""CE-SC!A1:J150"")"),"TOP")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58" t="str">
        <f>IFERROR(__xludf.DUMMYFUNCTION("""COMPUTED_VALUE"""),"Top 10")</f>
        <v>Top 10</v>
      </c>
      <c r="B2" s="173" t="str">
        <f>IFERROR(__xludf.DUMMYFUNCTION("""COMPUTED_VALUE"""),"CSCW")</f>
        <v>CSCW</v>
      </c>
      <c r="C2" s="174" t="str">
        <f>IFERROR(__xludf.DUMMYFUNCTION("""COMPUTED_VALUE"""),"CSCW - ACM Conference on Computer Supported Cooperative Work &amp; Social Computing")</f>
        <v>CSCW - ACM Conference on Computer Supported Cooperative Work &amp; Social Computing</v>
      </c>
      <c r="D2" s="75">
        <f>IFERROR(__xludf.DUMMYFUNCTION("""COMPUTED_VALUE"""),23.0)</f>
        <v>23</v>
      </c>
      <c r="E2" s="147" t="str">
        <f>IFERROR(__xludf.DUMMYFUNCTION("""COMPUTED_VALUE"""),"https://scholar.google.com.br/citations?hl=pt-BR&amp;view_op=search_venues&amp;vq=Conference+on+Computer+Supported+Cooperative+Work+%26+Social+Computing&amp;btnG=")</f>
        <v>https://scholar.google.com.br/citations?hl=pt-BR&amp;view_op=search_venues&amp;vq=Conference+on+Computer+Supported+Cooperative+Work+%26+Social+Computing&amp;btnG=</v>
      </c>
    </row>
    <row r="3">
      <c r="A3" s="58" t="str">
        <f>IFERROR(__xludf.DUMMYFUNCTION("""COMPUTED_VALUE"""),"Top 10")</f>
        <v>Top 10</v>
      </c>
      <c r="B3" s="173" t="str">
        <f>IFERROR(__xludf.DUMMYFUNCTION("""COMPUTED_VALUE"""),"CHI")</f>
        <v>CHI</v>
      </c>
      <c r="C3" s="174" t="str">
        <f>IFERROR(__xludf.DUMMYFUNCTION("""COMPUTED_VALUE"""),"CHI - ACM Conference on Human Factors in Computing Systems")</f>
        <v>CHI - ACM Conference on Human Factors in Computing Systems</v>
      </c>
      <c r="D3" s="75">
        <f>IFERROR(__xludf.DUMMYFUNCTION("""COMPUTED_VALUE"""),122.0)</f>
        <v>122</v>
      </c>
      <c r="E3" s="147" t="str">
        <f>IFERROR(__xludf.DUMMYFUNCTION("""COMPUTED_VALUE"""),"https://scholar.google.com.br/citations?hl=pt-BR&amp;view_op=search_venues&amp;vq=%C2%A0CHI&amp;btnG=")</f>
        <v>https://scholar.google.com.br/citations?hl=pt-BR&amp;view_op=search_venues&amp;vq=%C2%A0CHI&amp;btnG=</v>
      </c>
    </row>
    <row r="4">
      <c r="A4" s="58" t="str">
        <f>IFERROR(__xludf.DUMMYFUNCTION("""COMPUTED_VALUE"""),"Top 10")</f>
        <v>Top 10</v>
      </c>
      <c r="B4" s="173" t="str">
        <f>IFERROR(__xludf.DUMMYFUNCTION("""COMPUTED_VALUE"""),"GROUP")</f>
        <v>GROUP</v>
      </c>
      <c r="C4" s="174" t="str">
        <f>IFERROR(__xludf.DUMMYFUNCTION("""COMPUTED_VALUE"""),"GROUP - International Conference on Supporting Group Work")</f>
        <v>GROUP - International Conference on Supporting Group Work</v>
      </c>
      <c r="D4" s="75">
        <f>IFERROR(__xludf.DUMMYFUNCTION("""COMPUTED_VALUE"""),14.0)</f>
        <v>14</v>
      </c>
      <c r="E4" s="147" t="str">
        <f>IFERROR(__xludf.DUMMYFUNCTION("""COMPUTED_VALUE"""),"https://scholar.google.com.br/citations?hl=pt-BR&amp;view_op=search_venues&amp;vq=+International+Conference+on+Supporting+Group+Work&amp;btnG=")</f>
        <v>https://scholar.google.com.br/citations?hl=pt-BR&amp;view_op=search_venues&amp;vq=+International+Conference+on+Supporting+Group+Work&amp;btnG=</v>
      </c>
    </row>
    <row r="5">
      <c r="A5" s="58" t="str">
        <f>IFERROR(__xludf.DUMMYFUNCTION("""COMPUTED_VALUE"""),"Top 10")</f>
        <v>Top 10</v>
      </c>
      <c r="B5" s="173" t="str">
        <f>IFERROR(__xludf.DUMMYFUNCTION("""COMPUTED_VALUE"""),"ECSCW")</f>
        <v>ECSCW</v>
      </c>
      <c r="C5" s="174" t="str">
        <f>IFERROR(__xludf.DUMMYFUNCTION("""COMPUTED_VALUE"""),"ECSCW - European Conference on Computer Supported Cooperative Work (https://dblp.org/db/conf/ecscw/index.html)")</f>
        <v>ECSCW - European Conference on Computer Supported Cooperative Work (https://dblp.org/db/conf/ecscw/index.html)</v>
      </c>
      <c r="D5" s="75">
        <f>IFERROR(__xludf.DUMMYFUNCTION("""COMPUTED_VALUE"""),11.0)</f>
        <v>11</v>
      </c>
      <c r="E5" s="147" t="str">
        <f>IFERROR(__xludf.DUMMYFUNCTION("""COMPUTED_VALUE"""),"https://scholar.google.com.br/citations?hl=pt-BR&amp;view_op=search_venues&amp;vq=ECSCW&amp;btnG=")</f>
        <v>https://scholar.google.com.br/citations?hl=pt-BR&amp;view_op=search_venues&amp;vq=ECSCW&amp;btnG=</v>
      </c>
    </row>
    <row r="6">
      <c r="A6" s="58" t="str">
        <f>IFERROR(__xludf.DUMMYFUNCTION("""COMPUTED_VALUE"""),"Top 10")</f>
        <v>Top 10</v>
      </c>
      <c r="B6" s="173" t="str">
        <f>IFERROR(__xludf.DUMMYFUNCTION("""COMPUTED_VALUE"""),"CSCL")</f>
        <v>CSCL</v>
      </c>
      <c r="C6" s="174" t="str">
        <f>IFERROR(__xludf.DUMMYFUNCTION("""COMPUTED_VALUE"""),"CSCL - International Conference on Computer Supported Collaborative Learning")</f>
        <v>CSCL - International Conference on Computer Supported Collaborative Learning</v>
      </c>
      <c r="D6" s="75">
        <f>IFERROR(__xludf.DUMMYFUNCTION("""COMPUTED_VALUE"""),12.0)</f>
        <v>12</v>
      </c>
      <c r="E6" s="147" t="str">
        <f>IFERROR(__xludf.DUMMYFUNCTION("""COMPUTED_VALUE"""),"https://scholar.google.com.br/citations?hl=pt-BR&amp;view_op=search_venues&amp;vq=+International+Conference+on+Computer+Supported+Collaborative+Learning&amp;btnG=")</f>
        <v>https://scholar.google.com.br/citations?hl=pt-BR&amp;view_op=search_venues&amp;vq=+International+Conference+on+Computer+Supported+Collaborative+Learning&amp;btnG=</v>
      </c>
    </row>
    <row r="7">
      <c r="A7" s="58" t="str">
        <f>IFERROR(__xludf.DUMMYFUNCTION("""COMPUTED_VALUE"""),"Top 10")</f>
        <v>Top 10</v>
      </c>
      <c r="B7" s="173" t="str">
        <f>IFERROR(__xludf.DUMMYFUNCTION("""COMPUTED_VALUE"""),"CSCWD")</f>
        <v>CSCWD</v>
      </c>
      <c r="C7" s="174" t="str">
        <f>IFERROR(__xludf.DUMMYFUNCTION("""COMPUTED_VALUE"""),"CSCWD - IEEE International Conference on Computer Supported Cooperative Work in Design")</f>
        <v>CSCWD - IEEE International Conference on Computer Supported Cooperative Work in Design</v>
      </c>
      <c r="D7" s="75">
        <f>IFERROR(__xludf.DUMMYFUNCTION("""COMPUTED_VALUE"""),16.0)</f>
        <v>16</v>
      </c>
      <c r="E7" s="147" t="str">
        <f>IFERROR(__xludf.DUMMYFUNCTION("""COMPUTED_VALUE"""),"https://scholar.google.com.br/citations?hl=pt-BR&amp;view_op=search_venues&amp;vq=CSCWD&amp;btnG=")</f>
        <v>https://scholar.google.com.br/citations?hl=pt-BR&amp;view_op=search_venues&amp;vq=CSCWD&amp;btnG=</v>
      </c>
    </row>
    <row r="8">
      <c r="A8" s="58" t="str">
        <f>IFERROR(__xludf.DUMMYFUNCTION("""COMPUTED_VALUE"""),"Top 10")</f>
        <v>Top 10</v>
      </c>
      <c r="B8" s="173" t="str">
        <f>IFERROR(__xludf.DUMMYFUNCTION("""COMPUTED_VALUE"""),"IEEE SMC")</f>
        <v>IEEE SMC</v>
      </c>
      <c r="C8" s="174" t="str">
        <f>IFERROR(__xludf.DUMMYFUNCTION("""COMPUTED_VALUE"""),"IEEE International Conference on Systems, Man and Cybernetics")</f>
        <v>IEEE International Conference on Systems, Man and Cybernetics</v>
      </c>
      <c r="D8" s="76">
        <f>IFERROR(__xludf.DUMMYFUNCTION("""COMPUTED_VALUE"""),32.0)</f>
        <v>32</v>
      </c>
      <c r="E8" s="147" t="str">
        <f>IFERROR(__xludf.DUMMYFUNCTION("""COMPUTED_VALUE"""),"https://scholar.google.com.br/citations?hl=pt-BR&amp;view_op=search_venues&amp;vq=IEEE+Conference+Systems+Man+Cybernetic&amp;btnG=")</f>
        <v>https://scholar.google.com.br/citations?hl=pt-BR&amp;view_op=search_venues&amp;vq=IEEE+Conference+Systems+Man+Cybernetic&amp;btnG=</v>
      </c>
    </row>
    <row r="9">
      <c r="A9" s="58" t="str">
        <f>IFERROR(__xludf.DUMMYFUNCTION("""COMPUTED_VALUE"""),"Top 10")</f>
        <v>Top 10</v>
      </c>
      <c r="B9" t="str">
        <f>IFERROR(__xludf.DUMMYFUNCTION("""COMPUTED_VALUE"""),"ICWSM")</f>
        <v>ICWSM</v>
      </c>
      <c r="C9" t="str">
        <f>IFERROR(__xludf.DUMMYFUNCTION("""COMPUTED_VALUE"""),"International Conference on Web and Social Media (ICWSM)")</f>
        <v>International Conference on Web and Social Media (ICWSM)</v>
      </c>
      <c r="D9">
        <f>IFERROR(__xludf.DUMMYFUNCTION("""COMPUTED_VALUE"""),59.0)</f>
        <v>59</v>
      </c>
      <c r="E9" s="147" t="str">
        <f>IFERROR(__xludf.DUMMYFUNCTION("""COMPUTED_VALUE"""),"https://scholar.google.com.br/citations?hl=pt-BR&amp;view_op=search_venues&amp;vq=icwsm&amp;btnG=")</f>
        <v>https://scholar.google.com.br/citations?hl=pt-BR&amp;view_op=search_venues&amp;vq=icwsm&amp;btnG=</v>
      </c>
    </row>
    <row r="10">
      <c r="A10" s="58" t="str">
        <f>IFERROR(__xludf.DUMMYFUNCTION("""COMPUTED_VALUE"""),"Top 10")</f>
        <v>Top 10</v>
      </c>
      <c r="B10" s="173" t="str">
        <f>IFERROR(__xludf.DUMMYFUNCTION("""COMPUTED_VALUE"""),"C&amp;T")</f>
        <v>C&amp;T</v>
      </c>
      <c r="C10" s="174" t="str">
        <f>IFERROR(__xludf.DUMMYFUNCTION("""COMPUTED_VALUE"""),"International Conference on Communities and Technologies")</f>
        <v>International Conference on Communities and Technologies</v>
      </c>
      <c r="D10" s="75">
        <f>IFERROR(__xludf.DUMMYFUNCTION("""COMPUTED_VALUE"""),12.0)</f>
        <v>12</v>
      </c>
      <c r="E10" s="147" t="str">
        <f>IFERROR(__xludf.DUMMYFUNCTION("""COMPUTED_VALUE"""),"https://scholar.google.com.br/citations?hl=pt-BR&amp;view_op=search_venues&amp;vq=Communities+and+Technologies&amp;btnG=")</f>
        <v>https://scholar.google.com.br/citations?hl=pt-BR&amp;view_op=search_venues&amp;vq=Communities+and+Technologies&amp;btnG=</v>
      </c>
    </row>
    <row r="11">
      <c r="A11" s="58" t="str">
        <f>IFERROR(__xludf.DUMMYFUNCTION("""COMPUTED_VALUE"""),"Top 10")</f>
        <v>Top 10</v>
      </c>
      <c r="B11" s="173" t="str">
        <f>IFERROR(__xludf.DUMMYFUNCTION("""COMPUTED_VALUE"""),"SBSC")</f>
        <v>SBSC</v>
      </c>
      <c r="C11" s="174" t="str">
        <f>IFERROR(__xludf.DUMMYFUNCTION("""COMPUTED_VALUE"""),"SBSC - Simpósio Brasileiro de Sistemas Colaborativos")</f>
        <v>SBSC - Simpósio Brasileiro de Sistemas Colaborativos</v>
      </c>
      <c r="D11" s="75"/>
      <c r="E11" s="147"/>
      <c r="J11" s="60" t="str">
        <f>IFERROR(__xludf.DUMMYFUNCTION("""COMPUTED_VALUE"""),"https://sol.sbc.org.br/index.php/sbsc")</f>
        <v>https://sol.sbc.org.br/index.php/sbsc</v>
      </c>
    </row>
    <row r="12">
      <c r="A12" s="58" t="str">
        <f>IFERROR(__xludf.DUMMYFUNCTION("""COMPUTED_VALUE"""),"Top 20")</f>
        <v>Top 20</v>
      </c>
      <c r="B12" s="173" t="str">
        <f>IFERROR(__xludf.DUMMYFUNCTION("""COMPUTED_VALUE"""),"IHC")</f>
        <v>IHC</v>
      </c>
      <c r="C12" s="174" t="str">
        <f>IFERROR(__xludf.DUMMYFUNCTION("""COMPUTED_VALUE"""),"IHC - Simpósio Brasileiro sobre Fatores Humanos em Sistemas Computacionais")</f>
        <v>IHC - Simpósio Brasileiro sobre Fatores Humanos em Sistemas Computacionais</v>
      </c>
      <c r="D12" s="75">
        <f>IFERROR(__xludf.DUMMYFUNCTION("""COMPUTED_VALUE"""),14.0)</f>
        <v>14</v>
      </c>
      <c r="E12" s="147" t="str">
        <f>IFERROR(__xludf.DUMMYFUNCTION("""COMPUTED_VALUE"""),"https://scholar.google.com/citations?hl=en&amp;view_op=list_hcore&amp;venue=jyopF_8JEZIJ.2024")</f>
        <v>https://scholar.google.com/citations?hl=en&amp;view_op=list_hcore&amp;venue=jyopF_8JEZIJ.2024</v>
      </c>
    </row>
    <row r="13">
      <c r="A13" s="58" t="str">
        <f>IFERROR(__xludf.DUMMYFUNCTION("""COMPUTED_VALUE"""),"Top 20")</f>
        <v>Top 20</v>
      </c>
      <c r="B13" s="173" t="str">
        <f>IFERROR(__xludf.DUMMYFUNCTION("""COMPUTED_VALUE"""),"CHASE")</f>
        <v>CHASE</v>
      </c>
      <c r="C13" s="174" t="str">
        <f>IFERROR(__xludf.DUMMYFUNCTION("""COMPUTED_VALUE"""),"CHASE - International Workshop on Cooperative and Human Aspects of Software Engineering")</f>
        <v>CHASE - International Workshop on Cooperative and Human Aspects of Software Engineering</v>
      </c>
      <c r="D13" s="75">
        <f>IFERROR(__xludf.DUMMYFUNCTION("""COMPUTED_VALUE"""),13.0)</f>
        <v>13</v>
      </c>
      <c r="E13" s="147" t="str">
        <f>IFERROR(__xludf.DUMMYFUNCTION("""COMPUTED_VALUE"""),"https://scholar.google.com.br/citations?hl=pt-BR&amp;view_op=search_venues&amp;vq=International+Workshop+on+Cooperative+and+Human+Aspects+of+Software+Engineering&amp;btnG=")</f>
        <v>https://scholar.google.com.br/citations?hl=pt-BR&amp;view_op=search_venues&amp;vq=International+Workshop+on+Cooperative+and+Human+Aspects+of+Software+Engineering&amp;btnG=</v>
      </c>
    </row>
    <row r="14">
      <c r="A14" s="65" t="str">
        <f>IFERROR(__xludf.DUMMYFUNCTION("""COMPUTED_VALUE"""),"Top 20")</f>
        <v>Top 20</v>
      </c>
      <c r="B14" s="173" t="str">
        <f>IFERROR(__xludf.DUMMYFUNCTION("""COMPUTED_VALUE"""),"HCOMP")</f>
        <v>HCOMP</v>
      </c>
      <c r="C14" s="174" t="str">
        <f>IFERROR(__xludf.DUMMYFUNCTION("""COMPUTED_VALUE"""),"AAAI Conference on Human Computation and Crowdsourcing")</f>
        <v>AAAI Conference on Human Computation and Crowdsourcing</v>
      </c>
      <c r="D14" s="75">
        <f>IFERROR(__xludf.DUMMYFUNCTION("""COMPUTED_VALUE"""),22.0)</f>
        <v>22</v>
      </c>
      <c r="E14" s="147" t="str">
        <f>IFERROR(__xludf.DUMMYFUNCTION("""COMPUTED_VALUE"""),"https://scholar.google.com.br/citations?hl=pt-BR&amp;view_op=search_venues&amp;vq=AAAI+Conference+on+Human+Computation+and+Crowdsourcing&amp;btnG=")</f>
        <v>https://scholar.google.com.br/citations?hl=pt-BR&amp;view_op=search_venues&amp;vq=AAAI+Conference+on+Human+Computation+and+Crowdsourcing&amp;btnG=</v>
      </c>
    </row>
    <row r="15">
      <c r="A15" s="65" t="str">
        <f>IFERROR(__xludf.DUMMYFUNCTION("""COMPUTED_VALUE"""),"Top 20")</f>
        <v>Top 20</v>
      </c>
      <c r="B15" s="173" t="str">
        <f>IFERROR(__xludf.DUMMYFUNCTION("""COMPUTED_VALUE"""),"CIC")</f>
        <v>CIC</v>
      </c>
      <c r="C15" s="174" t="str">
        <f>IFERROR(__xludf.DUMMYFUNCTION("""COMPUTED_VALUE"""),"ACM International Conference on Collaboration and Internet Computing")</f>
        <v>ACM International Conference on Collaboration and Internet Computing</v>
      </c>
      <c r="D15" s="75">
        <f>IFERROR(__xludf.DUMMYFUNCTION("""COMPUTED_VALUE"""),15.0)</f>
        <v>15</v>
      </c>
      <c r="E15" s="147" t="str">
        <f>IFERROR(__xludf.DUMMYFUNCTION("""COMPUTED_VALUE"""),"https://scholar.google.com/citations?hl=en&amp;view_op=search_venues&amp;vq=International+Conference+on+Collaboration+and+Internet+Computing+%28CIC%29&amp;btnG=")</f>
        <v>https://scholar.google.com/citations?hl=en&amp;view_op=search_venues&amp;vq=International+Conference+on+Collaboration+and+Internet+Computing+%28CIC%29&amp;btnG=</v>
      </c>
    </row>
    <row r="16">
      <c r="A16" s="65" t="str">
        <f>IFERROR(__xludf.DUMMYFUNCTION("""COMPUTED_VALUE"""),"Top 20")</f>
        <v>Top 20</v>
      </c>
      <c r="B16" s="173" t="str">
        <f>IFERROR(__xludf.DUMMYFUNCTION("""COMPUTED_VALUE"""),"HICSS")</f>
        <v>HICSS</v>
      </c>
      <c r="C16" s="174" t="str">
        <f>IFERROR(__xludf.DUMMYFUNCTION("""COMPUTED_VALUE"""),"Hawaii International Conference on System Sciences")</f>
        <v>Hawaii International Conference on System Sciences</v>
      </c>
      <c r="D16" s="76">
        <f>IFERROR(__xludf.DUMMYFUNCTION("""COMPUTED_VALUE"""),59.0)</f>
        <v>59</v>
      </c>
      <c r="E16" s="147" t="str">
        <f>IFERROR(__xludf.DUMMYFUNCTION("""COMPUTED_VALUE"""),"https://scholar.google.com.br/citations?hl=pt-BR&amp;view_op=search_venues&amp;vq=Hawaii+International+Conference+on+System+Sciences&amp;btnG=")</f>
        <v>https://scholar.google.com.br/citations?hl=pt-BR&amp;view_op=search_venues&amp;vq=Hawaii+International+Conference+on+System+Sciences&amp;btnG=</v>
      </c>
    </row>
    <row r="17">
      <c r="A17" s="65" t="str">
        <f>IFERROR(__xludf.DUMMYFUNCTION("""COMPUTED_VALUE"""),"Top 20")</f>
        <v>Top 20</v>
      </c>
      <c r="B17" s="173" t="str">
        <f>IFERROR(__xludf.DUMMYFUNCTION("""COMPUTED_VALUE"""),"CollaborateCom")</f>
        <v>CollaborateCom</v>
      </c>
      <c r="C17" s="174" t="str">
        <f>IFERROR(__xludf.DUMMYFUNCTION("""COMPUTED_VALUE"""),"International Conference on Collaborative Computing: Networking, Applications and Worksharing (CollaborateCom)")</f>
        <v>International Conference on Collaborative Computing: Networking, Applications and Worksharing (CollaborateCom)</v>
      </c>
      <c r="D17" s="75">
        <f>IFERROR(__xludf.DUMMYFUNCTION("""COMPUTED_VALUE"""),8.0)</f>
        <v>8</v>
      </c>
      <c r="E17" s="147" t="str">
        <f>IFERROR(__xludf.DUMMYFUNCTION("""COMPUTED_VALUE"""),"https://scholar.google.com.br/citations?hl=pt-BR&amp;view_op=search_venues&amp;vq=collaboratecom&amp;btnG=")</f>
        <v>https://scholar.google.com.br/citations?hl=pt-BR&amp;view_op=search_venues&amp;vq=collaboratecom&amp;btnG=</v>
      </c>
    </row>
    <row r="18">
      <c r="A18" s="65" t="str">
        <f>IFERROR(__xludf.DUMMYFUNCTION("""COMPUTED_VALUE"""),"Top 20")</f>
        <v>Top 20</v>
      </c>
      <c r="B18" t="str">
        <f>IFERROR(__xludf.DUMMYFUNCTION("""COMPUTED_VALUE"""),"CDVE")</f>
        <v>CDVE</v>
      </c>
      <c r="C18" t="str">
        <f>IFERROR(__xludf.DUMMYFUNCTION("""COMPUTED_VALUE"""),"CDVE - International Conference on Cooperative Design, Visualization, and Engineering")</f>
        <v>CDVE - International Conference on Cooperative Design, Visualization, and Engineering</v>
      </c>
      <c r="D18">
        <f>IFERROR(__xludf.DUMMYFUNCTION("""COMPUTED_VALUE"""),7.0)</f>
        <v>7</v>
      </c>
      <c r="E18" s="147" t="str">
        <f>IFERROR(__xludf.DUMMYFUNCTION("""COMPUTED_VALUE"""),"https://scholar.google.com.br/citations?hl=pt-BR&amp;view_op=search_venues&amp;vq=Cooperative+Design%2C+Visualization%2C+and+Engineering&amp;btnG=")</f>
        <v>https://scholar.google.com.br/citations?hl=pt-BR&amp;view_op=search_venues&amp;vq=Cooperative+Design%2C+Visualization%2C+and+Engineering&amp;btnG=</v>
      </c>
    </row>
    <row r="19">
      <c r="A19" s="65" t="str">
        <f>IFERROR(__xludf.DUMMYFUNCTION("""COMPUTED_VALUE"""),"Top 20")</f>
        <v>Top 20</v>
      </c>
      <c r="B19" t="str">
        <f>IFERROR(__xludf.DUMMYFUNCTION("""COMPUTED_VALUE"""),"INCOS")</f>
        <v>INCOS</v>
      </c>
      <c r="C19" t="str">
        <f>IFERROR(__xludf.DUMMYFUNCTION("""COMPUTED_VALUE"""),"INCOS - International Conference on Intelligent Networking and Collaborative Systems")</f>
        <v>INCOS - International Conference on Intelligent Networking and Collaborative Systems</v>
      </c>
      <c r="D19">
        <f>IFERROR(__xludf.DUMMYFUNCTION("""COMPUTED_VALUE"""),14.0)</f>
        <v>14</v>
      </c>
      <c r="E19" s="147" t="str">
        <f>IFERROR(__xludf.DUMMYFUNCTION("""COMPUTED_VALUE"""),"https://scholar.google.com.br/citations?hl=pt-BR&amp;view_op=search_venues&amp;vq=+International+Conference+on+Intelligent+Networking+and+Collaborative+Systems&amp;btnG=")</f>
        <v>https://scholar.google.com.br/citations?hl=pt-BR&amp;view_op=search_venues&amp;vq=+International+Conference+on+Intelligent+Networking+and+Collaborative+Systems&amp;btnG=</v>
      </c>
    </row>
    <row r="20">
      <c r="A20" s="65" t="str">
        <f>IFERROR(__xludf.DUMMYFUNCTION("""COMPUTED_VALUE"""),"Top 20")</f>
        <v>Top 20</v>
      </c>
      <c r="B20" t="str">
        <f>IFERROR(__xludf.DUMMYFUNCTION("""COMPUTED_VALUE"""),"OpenSym")</f>
        <v>OpenSym</v>
      </c>
      <c r="C20" t="str">
        <f>IFERROR(__xludf.DUMMYFUNCTION("""COMPUTED_VALUE"""),"International Symposium on Open Collaboration")</f>
        <v>International Symposium on Open Collaboration</v>
      </c>
      <c r="D20">
        <f>IFERROR(__xludf.DUMMYFUNCTION("""COMPUTED_VALUE"""),11.0)</f>
        <v>11</v>
      </c>
      <c r="E20" s="147" t="str">
        <f>IFERROR(__xludf.DUMMYFUNCTION("""COMPUTED_VALUE"""),"https://scholar.google.com.br/citations?hl=pt-BR&amp;view_op=search_venues&amp;vq=International+Symposium+on+Open+Collaboration&amp;btnG=")</f>
        <v>https://scholar.google.com.br/citations?hl=pt-BR&amp;view_op=search_venues&amp;vq=International+Symposium+on+Open+Collaboration&amp;btnG=</v>
      </c>
    </row>
    <row r="21">
      <c r="A21" s="65" t="str">
        <f>IFERROR(__xludf.DUMMYFUNCTION("""COMPUTED_VALUE"""),"Top 20")</f>
        <v>Top 20</v>
      </c>
      <c r="B21" t="str">
        <f>IFERROR(__xludf.DUMMYFUNCTION("""COMPUTED_VALUE"""),"TEI")</f>
        <v>TEI</v>
      </c>
      <c r="C21" t="str">
        <f>IFERROR(__xludf.DUMMYFUNCTION("""COMPUTED_VALUE"""),"International Conference on Tangible, Embedded, and Embodied Interaction")</f>
        <v>International Conference on Tangible, Embedded, and Embodied Interaction</v>
      </c>
      <c r="D21">
        <f>IFERROR(__xludf.DUMMYFUNCTION("""COMPUTED_VALUE"""),27.0)</f>
        <v>27</v>
      </c>
      <c r="E21" s="147" t="str">
        <f>IFERROR(__xludf.DUMMYFUNCTION("""COMPUTED_VALUE"""),"https://scholar.google.com.br/citations?hl=pt-BR&amp;view_op=search_venues&amp;vq=Tangible&amp;btnG=")</f>
        <v>https://scholar.google.com.br/citations?hl=pt-BR&amp;view_op=search_venues&amp;vq=Tangible&amp;btnG=</v>
      </c>
    </row>
    <row r="22">
      <c r="A22" s="65" t="str">
        <f>IFERROR(__xludf.DUMMYFUNCTION("""COMPUTED_VALUE"""),"Eventos da Área")</f>
        <v>Eventos da Área</v>
      </c>
      <c r="B22" t="str">
        <f>IFERROR(__xludf.DUMMYFUNCTION("""COMPUTED_VALUE"""),"ISLS")</f>
        <v>ISLS</v>
      </c>
      <c r="C22" t="str">
        <f>IFERROR(__xludf.DUMMYFUNCTION("""COMPUTED_VALUE"""),"International Conference on Computer Supported Collaborative Learning")</f>
        <v>International Conference on Computer Supported Collaborative Learning</v>
      </c>
      <c r="D22">
        <f>IFERROR(__xludf.DUMMYFUNCTION("""COMPUTED_VALUE"""),12.0)</f>
        <v>12</v>
      </c>
      <c r="E22" s="147" t="str">
        <f>IFERROR(__xludf.DUMMYFUNCTION("""COMPUTED_VALUE"""),"https://scholar.google.com/citations?hl=en&amp;view_op=search_venues&amp;vq=International+Conference+on+Computer+Supported+Collaborative+Learning&amp;btnG=")</f>
        <v>https://scholar.google.com/citations?hl=en&amp;view_op=search_venues&amp;vq=International+Conference+on+Computer+Supported+Collaborative+Learning&amp;btnG=</v>
      </c>
    </row>
    <row r="23">
      <c r="A23" s="65" t="str">
        <f>IFERROR(__xludf.DUMMYFUNCTION("""COMPUTED_VALUE"""),"Eventos da Área")</f>
        <v>Eventos da Área</v>
      </c>
      <c r="B23" t="str">
        <f>IFERROR(__xludf.DUMMYFUNCTION("""COMPUTED_VALUE"""),"CLIHC")</f>
        <v>CLIHC</v>
      </c>
      <c r="C23" t="str">
        <f>IFERROR(__xludf.DUMMYFUNCTION("""COMPUTED_VALUE"""),"Latin American Conference on Human Computer Interaction")</f>
        <v>Latin American Conference on Human Computer Interaction</v>
      </c>
      <c r="D23">
        <f>IFERROR(__xludf.DUMMYFUNCTION("""COMPUTED_VALUE"""),7.0)</f>
        <v>7</v>
      </c>
      <c r="E23" s="147" t="str">
        <f>IFERROR(__xludf.DUMMYFUNCTION("""COMPUTED_VALUE"""),"https://scholar.google.com/citations?hl=en&amp;view_op=search_venues&amp;vq=%09Latin+American+Conference+on+Human+Computer+Interaction&amp;btnG=")</f>
        <v>https://scholar.google.com/citations?hl=en&amp;view_op=search_venues&amp;vq=%09Latin+American+Conference+on+Human+Computer+Interaction&amp;btnG=</v>
      </c>
      <c r="F23" s="57"/>
    </row>
    <row r="24">
      <c r="A24" s="68" t="str">
        <f>IFERROR(__xludf.DUMMYFUNCTION("""COMPUTED_VALUE"""),"Eventos da Área")</f>
        <v>Eventos da Área</v>
      </c>
      <c r="B24" t="str">
        <f>IFERROR(__xludf.DUMMYFUNCTION("""COMPUTED_VALUE"""),"WETICE")</f>
        <v>WETICE</v>
      </c>
      <c r="C24" t="str">
        <f>IFERROR(__xludf.DUMMYFUNCTION("""COMPUTED_VALUE"""),"IEEE International Conference on Enabling Technologies: Infrastructure for Collaborative Enterprises")</f>
        <v>IEEE International Conference on Enabling Technologies: Infrastructure for Collaborative Enterprises</v>
      </c>
      <c r="D24">
        <f>IFERROR(__xludf.DUMMYFUNCTION("""COMPUTED_VALUE"""),14.0)</f>
        <v>14</v>
      </c>
      <c r="E24" s="147" t="str">
        <f>IFERROR(__xludf.DUMMYFUNCTION("""COMPUTED_VALUE"""),"https://scholar.google.com.br/citations?hl=pt-BR&amp;view_op=list_hcore&amp;venue=kYDZP1q0-MAJ.2020")</f>
        <v>https://scholar.google.com.br/citations?hl=pt-BR&amp;view_op=list_hcore&amp;venue=kYDZP1q0-MAJ.2020</v>
      </c>
    </row>
    <row r="25">
      <c r="A25" s="68" t="str">
        <f>IFERROR(__xludf.DUMMYFUNCTION("""COMPUTED_VALUE"""),"Eventos da Área")</f>
        <v>Eventos da Área</v>
      </c>
      <c r="B25" t="str">
        <f>IFERROR(__xludf.DUMMYFUNCTION("""COMPUTED_VALUE"""),"BESC")</f>
        <v>BESC</v>
      </c>
      <c r="C25" t="str">
        <f>IFERROR(__xludf.DUMMYFUNCTION("""COMPUTED_VALUE""")," International Conference on Behavioural and Social Computing")</f>
        <v> International Conference on Behavioural and Social Computing</v>
      </c>
      <c r="D25">
        <f>IFERROR(__xludf.DUMMYFUNCTION("""COMPUTED_VALUE"""),8.0)</f>
        <v>8</v>
      </c>
      <c r="E25" s="147" t="str">
        <f>IFERROR(__xludf.DUMMYFUNCTION("""COMPUTED_VALUE"""),"https://scholar.google.com/citations?hl=en&amp;view_op=search_venues&amp;vq=%09International+Conference+on+Behavioural+and+Social+Computing&amp;btnG=")</f>
        <v>https://scholar.google.com/citations?hl=en&amp;view_op=search_venues&amp;vq=%09International+Conference+on+Behavioural+and+Social+Computing&amp;btnG=</v>
      </c>
      <c r="F25" s="57"/>
    </row>
    <row r="26">
      <c r="A26" s="68" t="str">
        <f>IFERROR(__xludf.DUMMYFUNCTION("""COMPUTED_VALUE"""),"Eventos da Área")</f>
        <v>Eventos da Área</v>
      </c>
      <c r="B26" t="str">
        <f>IFERROR(__xludf.DUMMYFUNCTION("""COMPUTED_VALUE"""),"ICT4D")</f>
        <v>ICT4D</v>
      </c>
      <c r="C26" t="str">
        <f>IFERROR(__xludf.DUMMYFUNCTION("""COMPUTED_VALUE"""),"International Conference on Social Implications of Computers in Developing Countries")</f>
        <v>International Conference on Social Implications of Computers in Developing Countries</v>
      </c>
      <c r="D26">
        <f>IFERROR(__xludf.DUMMYFUNCTION("""COMPUTED_VALUE"""),16.0)</f>
        <v>16</v>
      </c>
      <c r="E26" s="147" t="str">
        <f>IFERROR(__xludf.DUMMYFUNCTION("""COMPUTED_VALUE"""),"https://scholar.google.com/citations?hl=en&amp;view_op=search_venues&amp;vq=International+Conference+on+Social+Implications+of+Computers+in+Developing+Countries&amp;btnG=")</f>
        <v>https://scholar.google.com/citations?hl=en&amp;view_op=search_venues&amp;vq=International+Conference+on+Social+Implications+of+Computers+in+Developing+Countries&amp;btnG=</v>
      </c>
    </row>
    <row r="27">
      <c r="A27" s="68" t="str">
        <f>IFERROR(__xludf.DUMMYFUNCTION("""COMPUTED_VALUE"""),"Eventos da Área")</f>
        <v>Eventos da Área</v>
      </c>
      <c r="B27" t="str">
        <f>IFERROR(__xludf.DUMMYFUNCTION("""COMPUTED_VALUE"""),"WASHES")</f>
        <v>WASHES</v>
      </c>
      <c r="C27" t="str">
        <f>IFERROR(__xludf.DUMMYFUNCTION("""COMPUTED_VALUE"""),"Workshop sobre Aspectos Sociais, Humanos e Econômicos de Software")</f>
        <v>Workshop sobre Aspectos Sociais, Humanos e Econômicos de Software</v>
      </c>
      <c r="J27" s="60" t="str">
        <f>IFERROR(__xludf.DUMMYFUNCTION("""COMPUTED_VALUE"""),"https://sol.sbc.org.br/index.php/washes")</f>
        <v>https://sol.sbc.org.br/index.php/washes</v>
      </c>
    </row>
    <row r="28">
      <c r="A28" s="68"/>
    </row>
    <row r="29">
      <c r="A29" s="68"/>
    </row>
  </sheetData>
  <hyperlinks>
    <hyperlink r:id="rId1" ref="E2"/>
    <hyperlink r:id="rId2" ref="E3"/>
    <hyperlink r:id="rId3" ref="E4"/>
    <hyperlink r:id="rId4" ref="E5"/>
    <hyperlink r:id="rId5" ref="E6"/>
    <hyperlink r:id="rId6" ref="E7"/>
    <hyperlink r:id="rId7" ref="E8"/>
    <hyperlink r:id="rId8" ref="E9"/>
    <hyperlink r:id="rId9" ref="E10"/>
    <hyperlink r:id="rId10" ref="J11"/>
    <hyperlink r:id="rId11" ref="E12"/>
    <hyperlink r:id="rId12" ref="E13"/>
    <hyperlink r:id="rId13" ref="E14"/>
    <hyperlink r:id="rId14" ref="E15"/>
    <hyperlink r:id="rId15" ref="E16"/>
    <hyperlink r:id="rId16" ref="E17"/>
    <hyperlink r:id="rId17" ref="E18"/>
    <hyperlink r:id="rId18" ref="E19"/>
    <hyperlink r:id="rId19" ref="E20"/>
    <hyperlink r:id="rId20" ref="E21"/>
    <hyperlink r:id="rId21" ref="E22"/>
    <hyperlink r:id="rId22" ref="E23"/>
    <hyperlink r:id="rId23" ref="E24"/>
    <hyperlink r:id="rId24" ref="E25"/>
    <hyperlink r:id="rId25" ref="E26"/>
    <hyperlink r:id="rId26" ref="J27"/>
  </hyperlinks>
  <drawing r:id="rId27"/>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80.88"/>
    <col customWidth="1" min="7" max="7" width="29.25"/>
    <col customWidth="1" min="8" max="8" width="27.63"/>
    <col customWidth="1" min="9" max="9" width="32.38"/>
    <col customWidth="1" min="10" max="10" width="32.0"/>
  </cols>
  <sheetData>
    <row r="1">
      <c r="A1" s="1" t="str">
        <f>IFERROR(__xludf.DUMMYFUNCTION("importrange(""https://docs.google.com/spreadsheets/d/1Mj5mpYQBIvzNROMVP62SLdGc4Ru9KOnNXNbVbhRz0y0/edit#gid=204901589"",""CE-WEBMEDIA!A1:J150"")"),"TOP")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58" t="str">
        <f>IFERROR(__xludf.DUMMYFUNCTION("""COMPUTED_VALUE"""),"Top 10")</f>
        <v>Top 10</v>
      </c>
      <c r="B2" s="57" t="str">
        <f>IFERROR(__xludf.DUMMYFUNCTION("""COMPUTED_VALUE"""),"Hypertext")</f>
        <v>Hypertext</v>
      </c>
      <c r="C2" s="57" t="str">
        <f>IFERROR(__xludf.DUMMYFUNCTION("""COMPUTED_VALUE"""),"ACM Conference on Hypertext and Hypermedia")</f>
        <v>ACM Conference on Hypertext and Hypermedia</v>
      </c>
      <c r="D2" s="67">
        <f>IFERROR(__xludf.DUMMYFUNCTION("""COMPUTED_VALUE"""),22.0)</f>
        <v>22</v>
      </c>
      <c r="E2" s="147" t="str">
        <f>IFERROR(__xludf.DUMMYFUNCTION("""COMPUTED_VALUE"""),"https://scholar.google.com/citations?hl=pt-BR&amp;view_op=list_hcore&amp;venue=U4LFuNlM8GMJ.2024")</f>
        <v>https://scholar.google.com/citations?hl=pt-BR&amp;view_op=list_hcore&amp;venue=U4LFuNlM8GMJ.2024</v>
      </c>
      <c r="F2" s="57" t="str">
        <f>IFERROR(__xludf.DUMMYFUNCTION("""COMPUTED_VALUE"""),"HT")</f>
        <v>HT</v>
      </c>
      <c r="G2" t="str">
        <f>IFERROR(__xludf.DUMMYFUNCTION("""COMPUTED_VALUE"""),"ACM Conference on Hypertext and Social Media")</f>
        <v>ACM Conference on Hypertext and Social Media</v>
      </c>
      <c r="I2" s="60" t="str">
        <f>IFERROR(__xludf.DUMMYFUNCTION("""COMPUTED_VALUE"""),"https://dblp.org/db/conf/ht/index.html")</f>
        <v>https://dblp.org/db/conf/ht/index.html</v>
      </c>
    </row>
    <row r="3">
      <c r="A3" s="58" t="str">
        <f>IFERROR(__xludf.DUMMYFUNCTION("""COMPUTED_VALUE"""),"Top 10")</f>
        <v>Top 10</v>
      </c>
      <c r="B3" s="57" t="str">
        <f>IFERROR(__xludf.DUMMYFUNCTION("""COMPUTED_VALUE"""),"RecSys")</f>
        <v>RecSys</v>
      </c>
      <c r="C3" s="57" t="str">
        <f>IFERROR(__xludf.DUMMYFUNCTION("""COMPUTED_VALUE"""),"ACM Conference on Recommender Systems")</f>
        <v>ACM Conference on Recommender Systems</v>
      </c>
      <c r="D3" s="67">
        <f>IFERROR(__xludf.DUMMYFUNCTION("""COMPUTED_VALUE"""),53.0)</f>
        <v>53</v>
      </c>
      <c r="E3" s="147" t="str">
        <f>IFERROR(__xludf.DUMMYFUNCTION("""COMPUTED_VALUE"""),"https://scholar.google.com/citations?hl=pt-BR&amp;view_op=list_hcore&amp;venue=4-w_STT7RmEJ.2024")</f>
        <v>https://scholar.google.com/citations?hl=pt-BR&amp;view_op=list_hcore&amp;venue=4-w_STT7RmEJ.2024</v>
      </c>
      <c r="F3" s="57"/>
      <c r="I3" s="60" t="str">
        <f>IFERROR(__xludf.DUMMYFUNCTION("""COMPUTED_VALUE"""),"https://dblp.org/db/conf/recsys/index.html")</f>
        <v>https://dblp.org/db/conf/recsys/index.html</v>
      </c>
    </row>
    <row r="4">
      <c r="A4" s="58" t="str">
        <f>IFERROR(__xludf.DUMMYFUNCTION("""COMPUTED_VALUE"""),"Top 10")</f>
        <v>Top 10</v>
      </c>
      <c r="B4" s="57" t="str">
        <f>IFERROR(__xludf.DUMMYFUNCTION("""COMPUTED_VALUE"""),"ACM IMX")</f>
        <v>ACM IMX</v>
      </c>
      <c r="C4" s="57" t="str">
        <f>IFERROR(__xludf.DUMMYFUNCTION("""COMPUTED_VALUE"""),"ACM International Conference on Interactive Media Experiences")</f>
        <v>ACM International Conference on Interactive Media Experiences</v>
      </c>
      <c r="D4" s="67">
        <f>IFERROR(__xludf.DUMMYFUNCTION("""COMPUTED_VALUE"""),15.0)</f>
        <v>15</v>
      </c>
      <c r="E4" s="147" t="str">
        <f>IFERROR(__xludf.DUMMYFUNCTION("""COMPUTED_VALUE"""),"https://scholar.google.com/citations?hl=pt-BR&amp;view_op=list_hcore&amp;venue=DSB1DhJ431MJ.2024")</f>
        <v>https://scholar.google.com/citations?hl=pt-BR&amp;view_op=list_hcore&amp;venue=DSB1DhJ431MJ.2024</v>
      </c>
      <c r="F4" s="57"/>
      <c r="I4" s="60" t="str">
        <f>IFERROR(__xludf.DUMMYFUNCTION("""COMPUTED_VALUE"""),"https://dblp.org/db/conf/tvx/index.html")</f>
        <v>https://dblp.org/db/conf/tvx/index.html</v>
      </c>
    </row>
    <row r="5">
      <c r="A5" s="58" t="str">
        <f>IFERROR(__xludf.DUMMYFUNCTION("""COMPUTED_VALUE"""),"Top 10")</f>
        <v>Top 10</v>
      </c>
      <c r="B5" s="57" t="str">
        <f>IFERROR(__xludf.DUMMYFUNCTION("""COMPUTED_VALUE"""),"ICMR")</f>
        <v>ICMR</v>
      </c>
      <c r="C5" s="57" t="str">
        <f>IFERROR(__xludf.DUMMYFUNCTION("""COMPUTED_VALUE"""),"ACM International Conference on Multimedia Retrieval")</f>
        <v>ACM International Conference on Multimedia Retrieval</v>
      </c>
      <c r="D5" s="67">
        <f>IFERROR(__xludf.DUMMYFUNCTION("""COMPUTED_VALUE"""),34.0)</f>
        <v>34</v>
      </c>
      <c r="E5" s="147" t="str">
        <f>IFERROR(__xludf.DUMMYFUNCTION("""COMPUTED_VALUE"""),"https://scholar.google.com/citations?hl=pt-BR&amp;view_op=list_hcore&amp;venue=_3Q9NfFmueMJ.2024")</f>
        <v>https://scholar.google.com/citations?hl=pt-BR&amp;view_op=list_hcore&amp;venue=_3Q9NfFmueMJ.2024</v>
      </c>
      <c r="F5" s="57"/>
      <c r="I5" s="60" t="str">
        <f>IFERROR(__xludf.DUMMYFUNCTION("""COMPUTED_VALUE"""),"https://dblp.org/db/conf/mir/index.html")</f>
        <v>https://dblp.org/db/conf/mir/index.html</v>
      </c>
    </row>
    <row r="6">
      <c r="A6" s="58" t="str">
        <f>IFERROR(__xludf.DUMMYFUNCTION("""COMPUTED_VALUE"""),"Top 10")</f>
        <v>Top 10</v>
      </c>
      <c r="B6" s="57" t="str">
        <f>IFERROR(__xludf.DUMMYFUNCTION("""COMPUTED_VALUE"""),"WSDM")</f>
        <v>WSDM</v>
      </c>
      <c r="C6" s="57" t="str">
        <f>IFERROR(__xludf.DUMMYFUNCTION("""COMPUTED_VALUE"""),"ACM International Conference on Web Search and Data Mining")</f>
        <v>ACM International Conference on Web Search and Data Mining</v>
      </c>
      <c r="D6" s="67">
        <f>IFERROR(__xludf.DUMMYFUNCTION("""COMPUTED_VALUE"""),75.0)</f>
        <v>75</v>
      </c>
      <c r="E6" s="147" t="str">
        <f>IFERROR(__xludf.DUMMYFUNCTION("""COMPUTED_VALUE"""),"https://scholar.google.com/citations?hl=pt-BR&amp;view_op=list_hcore&amp;venue=6AbX1YWluE4J.2023")</f>
        <v>https://scholar.google.com/citations?hl=pt-BR&amp;view_op=list_hcore&amp;venue=6AbX1YWluE4J.2023</v>
      </c>
      <c r="F6" s="57"/>
      <c r="I6" s="60" t="str">
        <f>IFERROR(__xludf.DUMMYFUNCTION("""COMPUTED_VALUE"""),"https://dblp.org/db/conf/wsdm/index.html")</f>
        <v>https://dblp.org/db/conf/wsdm/index.html</v>
      </c>
    </row>
    <row r="7">
      <c r="A7" s="58" t="str">
        <f>IFERROR(__xludf.DUMMYFUNCTION("""COMPUTED_VALUE"""),"Top 10")</f>
        <v>Top 10</v>
      </c>
      <c r="B7" s="57" t="str">
        <f>IFERROR(__xludf.DUMMYFUNCTION("""COMPUTED_VALUE"""),"MM")</f>
        <v>MM</v>
      </c>
      <c r="C7" s="57" t="str">
        <f>IFERROR(__xludf.DUMMYFUNCTION("""COMPUTED_VALUE"""),"ACM Multimedia Conference")</f>
        <v>ACM Multimedia Conference</v>
      </c>
      <c r="D7" s="67">
        <f>IFERROR(__xludf.DUMMYFUNCTION("""COMPUTED_VALUE"""),101.0)</f>
        <v>101</v>
      </c>
      <c r="E7" s="147" t="str">
        <f>IFERROR(__xludf.DUMMYFUNCTION("""COMPUTED_VALUE"""),"https://scholar.google.com/citations?hl=pt-BR&amp;view_op=list_hcore&amp;venue=vKMrxyJUpv0J.2024")</f>
        <v>https://scholar.google.com/citations?hl=pt-BR&amp;view_op=list_hcore&amp;venue=vKMrxyJUpv0J.2024</v>
      </c>
      <c r="F7" s="57"/>
      <c r="I7" s="60" t="str">
        <f>IFERROR(__xludf.DUMMYFUNCTION("""COMPUTED_VALUE"""),"https://dblp.org/db/conf/mm/index.html")</f>
        <v>https://dblp.org/db/conf/mm/index.html</v>
      </c>
    </row>
    <row r="8">
      <c r="A8" s="58" t="str">
        <f>IFERROR(__xludf.DUMMYFUNCTION("""COMPUTED_VALUE"""),"Top 10")</f>
        <v>Top 10</v>
      </c>
      <c r="B8" s="57" t="str">
        <f>IFERROR(__xludf.DUMMYFUNCTION("""COMPUTED_VALUE"""),"MMSys")</f>
        <v>MMSys</v>
      </c>
      <c r="C8" s="57" t="str">
        <f>IFERROR(__xludf.DUMMYFUNCTION("""COMPUTED_VALUE"""),"ACM Multimedia Systems Conference")</f>
        <v>ACM Multimedia Systems Conference</v>
      </c>
      <c r="D8" s="67">
        <f>IFERROR(__xludf.DUMMYFUNCTION("""COMPUTED_VALUE"""),28.0)</f>
        <v>28</v>
      </c>
      <c r="E8" s="147" t="str">
        <f>IFERROR(__xludf.DUMMYFUNCTION("""COMPUTED_VALUE"""),"https://scholar.google.com/citations?hl=pt-BR&amp;view_op=list_hcore&amp;venue=iRTf4ImdsEQJ.2024")</f>
        <v>https://scholar.google.com/citations?hl=pt-BR&amp;view_op=list_hcore&amp;venue=iRTf4ImdsEQJ.2024</v>
      </c>
      <c r="F8" s="57"/>
      <c r="I8" s="60" t="str">
        <f>IFERROR(__xludf.DUMMYFUNCTION("""COMPUTED_VALUE"""),"https://dblp.org/db/conf/mmsys/index.html")</f>
        <v>https://dblp.org/db/conf/mmsys/index.html</v>
      </c>
    </row>
    <row r="9">
      <c r="A9" s="58" t="str">
        <f>IFERROR(__xludf.DUMMYFUNCTION("""COMPUTED_VALUE"""),"Top 10")</f>
        <v>Top 10</v>
      </c>
      <c r="B9" s="57" t="str">
        <f>IFERROR(__xludf.DUMMYFUNCTION("""COMPUTED_VALUE"""),"WebMedia")</f>
        <v>WebMedia</v>
      </c>
      <c r="C9" s="57" t="str">
        <f>IFERROR(__xludf.DUMMYFUNCTION("""COMPUTED_VALUE"""),"Brazilian Symposium on Multimedia and Web")</f>
        <v>Brazilian Symposium on Multimedia and Web</v>
      </c>
      <c r="D9" s="67">
        <f>IFERROR(__xludf.DUMMYFUNCTION("""COMPUTED_VALUE"""),13.0)</f>
        <v>13</v>
      </c>
      <c r="E9" s="147" t="str">
        <f>IFERROR(__xludf.DUMMYFUNCTION("""COMPUTED_VALUE"""),"https://scholar.google.com/citations?hl=pt-BR&amp;view_op=list_hcore&amp;venue=EL-07Zfxn_kJ.2024")</f>
        <v>https://scholar.google.com/citations?hl=pt-BR&amp;view_op=list_hcore&amp;venue=EL-07Zfxn_kJ.2024</v>
      </c>
      <c r="F9" s="57"/>
      <c r="I9" s="60" t="str">
        <f>IFERROR(__xludf.DUMMYFUNCTION("""COMPUTED_VALUE"""),"https://dblp.org/db/conf/webmedia/index.html")</f>
        <v>https://dblp.org/db/conf/webmedia/index.html</v>
      </c>
      <c r="J9" s="60" t="str">
        <f>IFERROR(__xludf.DUMMYFUNCTION("""COMPUTED_VALUE"""),"https://sol.sbc.org.br/index.php/webmedia")</f>
        <v>https://sol.sbc.org.br/index.php/webmedia</v>
      </c>
    </row>
    <row r="10">
      <c r="A10" s="58" t="str">
        <f>IFERROR(__xludf.DUMMYFUNCTION("""COMPUTED_VALUE"""),"Top 10")</f>
        <v>Top 10</v>
      </c>
      <c r="B10" s="57" t="str">
        <f>IFERROR(__xludf.DUMMYFUNCTION("""COMPUTED_VALUE"""),"ICME")</f>
        <v>ICME</v>
      </c>
      <c r="C10" s="57" t="str">
        <f>IFERROR(__xludf.DUMMYFUNCTION("""COMPUTED_VALUE"""),"International Conference on Multimedia and Expo")</f>
        <v>International Conference on Multimedia and Expo</v>
      </c>
      <c r="D10" s="67">
        <f>IFERROR(__xludf.DUMMYFUNCTION("""COMPUTED_VALUE"""),46.0)</f>
        <v>46</v>
      </c>
      <c r="E10" s="147" t="str">
        <f>IFERROR(__xludf.DUMMYFUNCTION("""COMPUTED_VALUE"""),"https://scholar.google.com/citations?hl=pt-BR&amp;view_op=list_hcore&amp;venue=xYXdFLRJbCMJ.2024")</f>
        <v>https://scholar.google.com/citations?hl=pt-BR&amp;view_op=list_hcore&amp;venue=xYXdFLRJbCMJ.2024</v>
      </c>
      <c r="F10" s="57"/>
      <c r="I10" s="60" t="str">
        <f>IFERROR(__xludf.DUMMYFUNCTION("""COMPUTED_VALUE"""),"https://dblp.org/db/conf/icmcs/index.html")</f>
        <v>https://dblp.org/db/conf/icmcs/index.html</v>
      </c>
    </row>
    <row r="11">
      <c r="A11" s="58" t="str">
        <f>IFERROR(__xludf.DUMMYFUNCTION("""COMPUTED_VALUE"""),"Top 10")</f>
        <v>Top 10</v>
      </c>
      <c r="B11" s="57" t="str">
        <f>IFERROR(__xludf.DUMMYFUNCTION("""COMPUTED_VALUE"""),"WWW")</f>
        <v>WWW</v>
      </c>
      <c r="C11" s="57" t="str">
        <f>IFERROR(__xludf.DUMMYFUNCTION("""COMPUTED_VALUE"""),"International World Wide Web Conferences")</f>
        <v>International World Wide Web Conferences</v>
      </c>
      <c r="D11" s="67">
        <f>IFERROR(__xludf.DUMMYFUNCTION("""COMPUTED_VALUE"""),112.0)</f>
        <v>112</v>
      </c>
      <c r="E11" s="147" t="str">
        <f>IFERROR(__xludf.DUMMYFUNCTION("""COMPUTED_VALUE"""),"https://scholar.google.com/citations?hl=pt-BR&amp;view_op=list_hcore&amp;venue=VtCeQ7ShDloJ.2024")</f>
        <v>https://scholar.google.com/citations?hl=pt-BR&amp;view_op=list_hcore&amp;venue=VtCeQ7ShDloJ.2024</v>
      </c>
      <c r="F11" s="57"/>
      <c r="G11" t="str">
        <f>IFERROR(__xludf.DUMMYFUNCTION("""COMPUTED_VALUE"""),"The ACM Web Conference")</f>
        <v>The ACM Web Conference</v>
      </c>
      <c r="I11" s="60" t="str">
        <f>IFERROR(__xludf.DUMMYFUNCTION("""COMPUTED_VALUE"""),"https://dblp.org/db/conf/www/index.html")</f>
        <v>https://dblp.org/db/conf/www/index.html</v>
      </c>
    </row>
    <row r="12">
      <c r="A12" s="65" t="str">
        <f>IFERROR(__xludf.DUMMYFUNCTION("""COMPUTED_VALUE"""),"Top 20")</f>
        <v>Top 20</v>
      </c>
      <c r="B12" s="57" t="str">
        <f>IFERROR(__xludf.DUMMYFUNCTION("""COMPUTED_VALUE"""),"CSCW")</f>
        <v>CSCW</v>
      </c>
      <c r="C12" s="57" t="str">
        <f>IFERROR(__xludf.DUMMYFUNCTION("""COMPUTED_VALUE"""),"ACM Conference on Computer-Supported Cooperative Work &amp; Social Computing")</f>
        <v>ACM Conference on Computer-Supported Cooperative Work &amp; Social Computing</v>
      </c>
      <c r="D12" s="67">
        <f>IFERROR(__xludf.DUMMYFUNCTION("""COMPUTED_VALUE"""),24.0)</f>
        <v>24</v>
      </c>
      <c r="E12" s="147" t="str">
        <f>IFERROR(__xludf.DUMMYFUNCTION("""COMPUTED_VALUE"""),"https://scholar.google.com/citations?hl=pt-BR&amp;view_op=list_hcore&amp;venue=kXowlNFROIgJ.2024")</f>
        <v>https://scholar.google.com/citations?hl=pt-BR&amp;view_op=list_hcore&amp;venue=kXowlNFROIgJ.2024</v>
      </c>
      <c r="F12" s="57"/>
      <c r="I12" s="60" t="str">
        <f>IFERROR(__xludf.DUMMYFUNCTION("""COMPUTED_VALUE"""),"https://dblp.org/db/conf/cscw/index.html")</f>
        <v>https://dblp.org/db/conf/cscw/index.html</v>
      </c>
    </row>
    <row r="13">
      <c r="A13" s="65" t="str">
        <f>IFERROR(__xludf.DUMMYFUNCTION("""COMPUTED_VALUE"""),"Top 20")</f>
        <v>Top 20</v>
      </c>
      <c r="B13" s="57" t="str">
        <f>IFERROR(__xludf.DUMMYFUNCTION("""COMPUTED_VALUE"""),"BraSNAM")</f>
        <v>BraSNAM</v>
      </c>
      <c r="C13" s="57" t="str">
        <f>IFERROR(__xludf.DUMMYFUNCTION("""COMPUTED_VALUE"""),"Brazilian Workshop on Social Network Analysis and Mining")</f>
        <v>Brazilian Workshop on Social Network Analysis and Mining</v>
      </c>
      <c r="D13" s="67">
        <f>IFERROR(__xludf.DUMMYFUNCTION("""COMPUTED_VALUE"""),8.0)</f>
        <v>8</v>
      </c>
      <c r="E13" s="147" t="str">
        <f>IFERROR(__xludf.DUMMYFUNCTION("""COMPUTED_VALUE"""),"https://scholar.google.com/citations?hl=pt-BR&amp;view_op=list_hcore&amp;venue=uCHdYLLURp0J.2024")</f>
        <v>https://scholar.google.com/citations?hl=pt-BR&amp;view_op=list_hcore&amp;venue=uCHdYLLURp0J.2024</v>
      </c>
      <c r="F13" s="57"/>
      <c r="J13" s="60" t="str">
        <f>IFERROR(__xludf.DUMMYFUNCTION("""COMPUTED_VALUE"""),"https://sol.sbc.org.br/index.php/brasnam")</f>
        <v>https://sol.sbc.org.br/index.php/brasnam</v>
      </c>
    </row>
    <row r="14">
      <c r="A14" s="65" t="str">
        <f>IFERROR(__xludf.DUMMYFUNCTION("""COMPUTED_VALUE"""),"Top 20")</f>
        <v>Top 20</v>
      </c>
      <c r="B14" s="57" t="str">
        <f>IFERROR(__xludf.DUMMYFUNCTION("""COMPUTED_VALUE"""),"ESWS")</f>
        <v>ESWS</v>
      </c>
      <c r="C14" s="57" t="str">
        <f>IFERROR(__xludf.DUMMYFUNCTION("""COMPUTED_VALUE"""),"Extended Semantic Web Conference")</f>
        <v>Extended Semantic Web Conference</v>
      </c>
      <c r="D14" s="67">
        <f>IFERROR(__xludf.DUMMYFUNCTION("""COMPUTED_VALUE"""),32.0)</f>
        <v>32</v>
      </c>
      <c r="E14" s="147" t="str">
        <f>IFERROR(__xludf.DUMMYFUNCTION("""COMPUTED_VALUE"""),"https://scholar.google.com/citations?hl=pt-BR&amp;view_op=list_hcore&amp;venue=mf0MeYwvqwoJ.2024")</f>
        <v>https://scholar.google.com/citations?hl=pt-BR&amp;view_op=list_hcore&amp;venue=mf0MeYwvqwoJ.2024</v>
      </c>
      <c r="F14" s="57"/>
      <c r="I14" s="60" t="str">
        <f>IFERROR(__xludf.DUMMYFUNCTION("""COMPUTED_VALUE"""),"https://dblp.org/db/conf/esws/index.html")</f>
        <v>https://dblp.org/db/conf/esws/index.html</v>
      </c>
    </row>
    <row r="15">
      <c r="A15" s="65" t="str">
        <f>IFERROR(__xludf.DUMMYFUNCTION("""COMPUTED_VALUE"""),"Top 20")</f>
        <v>Top 20</v>
      </c>
      <c r="B15" s="57" t="str">
        <f>IFERROR(__xludf.DUMMYFUNCTION("""COMPUTED_VALUE"""),"ICWE")</f>
        <v>ICWE</v>
      </c>
      <c r="C15" s="57" t="str">
        <f>IFERROR(__xludf.DUMMYFUNCTION("""COMPUTED_VALUE"""),"International Conference on Web Engineering")</f>
        <v>International Conference on Web Engineering</v>
      </c>
      <c r="D15" s="67">
        <f>IFERROR(__xludf.DUMMYFUNCTION("""COMPUTED_VALUE"""),15.0)</f>
        <v>15</v>
      </c>
      <c r="E15" s="147" t="str">
        <f>IFERROR(__xludf.DUMMYFUNCTION("""COMPUTED_VALUE"""),"https://scholar.google.com/citations?hl=pt-BR&amp;view_op=list_hcore&amp;venue=I8L8xmsrq2EJ.2024")</f>
        <v>https://scholar.google.com/citations?hl=pt-BR&amp;view_op=list_hcore&amp;venue=I8L8xmsrq2EJ.2024</v>
      </c>
      <c r="F15" s="57"/>
      <c r="I15" s="60" t="str">
        <f>IFERROR(__xludf.DUMMYFUNCTION("""COMPUTED_VALUE"""),"https://dblp.org/db/conf/icwe/index.html")</f>
        <v>https://dblp.org/db/conf/icwe/index.html</v>
      </c>
    </row>
    <row r="16">
      <c r="A16" s="65" t="str">
        <f>IFERROR(__xludf.DUMMYFUNCTION("""COMPUTED_VALUE"""),"Top 20")</f>
        <v>Top 20</v>
      </c>
      <c r="B16" s="57" t="str">
        <f>IFERROR(__xludf.DUMMYFUNCTION("""COMPUTED_VALUE"""),"ICWS")</f>
        <v>ICWS</v>
      </c>
      <c r="C16" s="57" t="str">
        <f>IFERROR(__xludf.DUMMYFUNCTION("""COMPUTED_VALUE"""),"International Conference on Web Services")</f>
        <v>International Conference on Web Services</v>
      </c>
      <c r="D16" s="67">
        <f>IFERROR(__xludf.DUMMYFUNCTION("""COMPUTED_VALUE"""),26.0)</f>
        <v>26</v>
      </c>
      <c r="E16" s="147" t="str">
        <f>IFERROR(__xludf.DUMMYFUNCTION("""COMPUTED_VALUE"""),"https://scholar.google.com/citations?hl=pt-BR&amp;view_op=list_hcore&amp;venue=UYzshLpmx2EJ.2024")</f>
        <v>https://scholar.google.com/citations?hl=pt-BR&amp;view_op=list_hcore&amp;venue=UYzshLpmx2EJ.2024</v>
      </c>
      <c r="F16" s="57"/>
      <c r="I16" s="60" t="str">
        <f>IFERROR(__xludf.DUMMYFUNCTION("""COMPUTED_VALUE"""),"https://dblp.org/db/conf/icws/index.html")</f>
        <v>https://dblp.org/db/conf/icws/index.html</v>
      </c>
    </row>
    <row r="17">
      <c r="A17" s="65" t="str">
        <f>IFERROR(__xludf.DUMMYFUNCTION("""COMPUTED_VALUE"""),"Top 20")</f>
        <v>Top 20</v>
      </c>
      <c r="B17" s="57" t="str">
        <f>IFERROR(__xludf.DUMMYFUNCTION("""COMPUTED_VALUE"""),"Web4All")</f>
        <v>Web4All</v>
      </c>
      <c r="C17" s="57" t="str">
        <f>IFERROR(__xludf.DUMMYFUNCTION("""COMPUTED_VALUE"""),"International Web for All Conference")</f>
        <v>International Web for All Conference</v>
      </c>
      <c r="D17" s="67">
        <f>IFERROR(__xludf.DUMMYFUNCTION("""COMPUTED_VALUE"""),16.0)</f>
        <v>16</v>
      </c>
      <c r="E17" s="147" t="str">
        <f>IFERROR(__xludf.DUMMYFUNCTION("""COMPUTED_VALUE"""),"https://scholar.google.com/scholar?as_q=&amp;as_epq=&amp;as_oq=&amp;as_eq=&amp;as_occt=any&amp;as_sauthors=&amp;as_publication=International+Web+for+All+Conference&amp;as_ylo=2020&amp;as_yhi=2024&amp;hl=pt-BR&amp;as_sdt=0%2C5")</f>
        <v>https://scholar.google.com/scholar?as_q=&amp;as_epq=&amp;as_oq=&amp;as_eq=&amp;as_occt=any&amp;as_sauthors=&amp;as_publication=International+Web+for+All+Conference&amp;as_ylo=2020&amp;as_yhi=2024&amp;hl=pt-BR&amp;as_sdt=0%2C5</v>
      </c>
      <c r="F17" s="57"/>
    </row>
    <row r="18">
      <c r="A18" s="65" t="str">
        <f>IFERROR(__xludf.DUMMYFUNCTION("""COMPUTED_VALUE"""),"Top 20")</f>
        <v>Top 20</v>
      </c>
      <c r="B18" s="57" t="str">
        <f>IFERROR(__xludf.DUMMYFUNCTION("""COMPUTED_VALUE"""),"QoMEX")</f>
        <v>QoMEX</v>
      </c>
      <c r="C18" s="57" t="str">
        <f>IFERROR(__xludf.DUMMYFUNCTION("""COMPUTED_VALUE"""),"International Workshop on Quality of Multimedia Experience")</f>
        <v>International Workshop on Quality of Multimedia Experience</v>
      </c>
      <c r="D18" s="67">
        <f>IFERROR(__xludf.DUMMYFUNCTION("""COMPUTED_VALUE"""),24.0)</f>
        <v>24</v>
      </c>
      <c r="E18" s="147" t="str">
        <f>IFERROR(__xludf.DUMMYFUNCTION("""COMPUTED_VALUE"""),"https://scholar.google.com/citations?hl=pt-BR&amp;view_op=list_hcore&amp;venue=bEDbANOodwgJ.2024")</f>
        <v>https://scholar.google.com/citations?hl=pt-BR&amp;view_op=list_hcore&amp;venue=bEDbANOodwgJ.2024</v>
      </c>
      <c r="F18" s="57"/>
      <c r="I18" s="60" t="str">
        <f>IFERROR(__xludf.DUMMYFUNCTION("""COMPUTED_VALUE"""),"https://dblp.org/db/conf/qomex/index.html")</f>
        <v>https://dblp.org/db/conf/qomex/index.html</v>
      </c>
    </row>
    <row r="19">
      <c r="A19" s="65" t="str">
        <f>IFERROR(__xludf.DUMMYFUNCTION("""COMPUTED_VALUE"""),"Top 20")</f>
        <v>Top 20</v>
      </c>
      <c r="B19" s="57" t="str">
        <f>IFERROR(__xludf.DUMMYFUNCTION("""COMPUTED_VALUE"""),"MMM")</f>
        <v>MMM</v>
      </c>
      <c r="C19" s="57" t="str">
        <f>IFERROR(__xludf.DUMMYFUNCTION("""COMPUTED_VALUE"""),"International Conference on Multimedia Modelling")</f>
        <v>International Conference on Multimedia Modelling</v>
      </c>
      <c r="D19" s="67">
        <f>IFERROR(__xludf.DUMMYFUNCTION("""COMPUTED_VALUE"""),26.0)</f>
        <v>26</v>
      </c>
      <c r="E19" s="147" t="str">
        <f>IFERROR(__xludf.DUMMYFUNCTION("""COMPUTED_VALUE"""),"https://scholar.google.com/citations?hl=pt-BR&amp;view_op=list_hcore&amp;venue=Yk_rZmw8Ul4J.2024")</f>
        <v>https://scholar.google.com/citations?hl=pt-BR&amp;view_op=list_hcore&amp;venue=Yk_rZmw8Ul4J.2024</v>
      </c>
      <c r="F19" s="57"/>
      <c r="I19" s="60" t="str">
        <f>IFERROR(__xludf.DUMMYFUNCTION("""COMPUTED_VALUE"""),"https://dblp.org/db/conf/mmm/index.html")</f>
        <v>https://dblp.org/db/conf/mmm/index.html</v>
      </c>
    </row>
    <row r="20">
      <c r="A20" s="65" t="str">
        <f>IFERROR(__xludf.DUMMYFUNCTION("""COMPUTED_VALUE"""),"Top 20")</f>
        <v>Top 20</v>
      </c>
      <c r="B20" s="57" t="str">
        <f>IFERROR(__xludf.DUMMYFUNCTION("""COMPUTED_VALUE"""),"Ubicomp")</f>
        <v>Ubicomp</v>
      </c>
      <c r="C20" s="57" t="str">
        <f>IFERROR(__xludf.DUMMYFUNCTION("""COMPUTED_VALUE"""),"Pervasive and Ubiquitous Computing")</f>
        <v>Pervasive and Ubiquitous Computing</v>
      </c>
      <c r="D20" s="67">
        <f>IFERROR(__xludf.DUMMYFUNCTION("""COMPUTED_VALUE"""),27.0)</f>
        <v>27</v>
      </c>
      <c r="E20" s="147" t="str">
        <f>IFERROR(__xludf.DUMMYFUNCTION("""COMPUTED_VALUE"""),"https://scholar.google.com/citations?hl=pt-BR&amp;view_op=list_hcore&amp;venue=K6EHRjh8bWIJ.2024")</f>
        <v>https://scholar.google.com/citations?hl=pt-BR&amp;view_op=list_hcore&amp;venue=K6EHRjh8bWIJ.2024</v>
      </c>
      <c r="F20" s="57"/>
      <c r="G20" t="str">
        <f>IFERROR(__xludf.DUMMYFUNCTION("""COMPUTED_VALUE"""),"ACM Conference on Pervasive and Ubiquitous Computing")</f>
        <v>ACM Conference on Pervasive and Ubiquitous Computing</v>
      </c>
      <c r="I20" s="60" t="str">
        <f>IFERROR(__xludf.DUMMYFUNCTION("""COMPUTED_VALUE"""),"https://dblp.org/db/conf/huc/index.html")</f>
        <v>https://dblp.org/db/conf/huc/index.html</v>
      </c>
    </row>
    <row r="21">
      <c r="A21" s="65" t="str">
        <f>IFERROR(__xludf.DUMMYFUNCTION("""COMPUTED_VALUE"""),"Top 20")</f>
        <v>Top 20</v>
      </c>
      <c r="B21" s="57" t="str">
        <f>IFERROR(__xludf.DUMMYFUNCTION("""COMPUTED_VALUE"""),"WISE")</f>
        <v>WISE</v>
      </c>
      <c r="C21" s="57" t="str">
        <f>IFERROR(__xludf.DUMMYFUNCTION("""COMPUTED_VALUE"""),"Web Information Systems Engineering")</f>
        <v>Web Information Systems Engineering</v>
      </c>
      <c r="D21" s="67">
        <f>IFERROR(__xludf.DUMMYFUNCTION("""COMPUTED_VALUE"""),18.0)</f>
        <v>18</v>
      </c>
      <c r="E21" s="147" t="str">
        <f>IFERROR(__xludf.DUMMYFUNCTION("""COMPUTED_VALUE"""),"https://scholar.google.com/citations?hl=pt-BR&amp;view_op=list_hcore&amp;venue=K9DmX5xQU-YJ.2024")</f>
        <v>https://scholar.google.com/citations?hl=pt-BR&amp;view_op=list_hcore&amp;venue=K9DmX5xQU-YJ.2024</v>
      </c>
      <c r="F21" s="57"/>
      <c r="I21" s="60" t="str">
        <f>IFERROR(__xludf.DUMMYFUNCTION("""COMPUTED_VALUE"""),"https://dblp.org/db/conf/wise/index.html")</f>
        <v>https://dblp.org/db/conf/wise/index.html</v>
      </c>
    </row>
    <row r="22">
      <c r="A22" s="68" t="str">
        <f>IFERROR(__xludf.DUMMYFUNCTION("""COMPUTED_VALUE"""),"Eventos da Área")</f>
        <v>Eventos da Área</v>
      </c>
      <c r="B22" s="57" t="str">
        <f>IFERROR(__xludf.DUMMYFUNCTION("""COMPUTED_VALUE"""),"EC")</f>
        <v>EC</v>
      </c>
      <c r="C22" s="57" t="str">
        <f>IFERROR(__xludf.DUMMYFUNCTION("""COMPUTED_VALUE"""),"ACM conference on Economics and Computation")</f>
        <v>ACM conference on Economics and Computation</v>
      </c>
      <c r="D22" s="67">
        <f>IFERROR(__xludf.DUMMYFUNCTION("""COMPUTED_VALUE"""),51.0)</f>
        <v>51</v>
      </c>
      <c r="E22" s="147" t="str">
        <f>IFERROR(__xludf.DUMMYFUNCTION("""COMPUTED_VALUE"""),"https://scholar.google.com/citations?hl=pt-BR&amp;view_op=list_hcore&amp;venue=dpWPf1oNwIgJ.2023")</f>
        <v>https://scholar.google.com/citations?hl=pt-BR&amp;view_op=list_hcore&amp;venue=dpWPf1oNwIgJ.2023</v>
      </c>
      <c r="F22" s="57"/>
      <c r="I22" s="60" t="str">
        <f>IFERROR(__xludf.DUMMYFUNCTION("""COMPUTED_VALUE"""),"https://dblp.org/db/conf/sigecom/index.html")</f>
        <v>https://dblp.org/db/conf/sigecom/index.html</v>
      </c>
    </row>
    <row r="23">
      <c r="A23" s="68" t="str">
        <f>IFERROR(__xludf.DUMMYFUNCTION("""COMPUTED_VALUE"""),"Eventos da Área")</f>
        <v>Eventos da Área</v>
      </c>
      <c r="B23" s="57" t="str">
        <f>IFERROR(__xludf.DUMMYFUNCTION("""COMPUTED_VALUE"""),"ACM DocEng")</f>
        <v>ACM DocEng</v>
      </c>
      <c r="C23" s="57" t="str">
        <f>IFERROR(__xludf.DUMMYFUNCTION("""COMPUTED_VALUE"""),"ACM Symposium on Document Engineering")</f>
        <v>ACM Symposium on Document Engineering</v>
      </c>
      <c r="D23" s="67">
        <f>IFERROR(__xludf.DUMMYFUNCTION("""COMPUTED_VALUE"""),13.0)</f>
        <v>13</v>
      </c>
      <c r="E23" s="147" t="str">
        <f>IFERROR(__xludf.DUMMYFUNCTION("""COMPUTED_VALUE"""),"https://scholar.google.com/citations?hl=pt-BR&amp;view_op=list_hcore&amp;venue=C6AfMlHpHa0J.2024")</f>
        <v>https://scholar.google.com/citations?hl=pt-BR&amp;view_op=list_hcore&amp;venue=C6AfMlHpHa0J.2024</v>
      </c>
      <c r="F23" s="57"/>
      <c r="I23" s="60" t="str">
        <f>IFERROR(__xludf.DUMMYFUNCTION("""COMPUTED_VALUE"""),"https://dblp.org/db/conf/doceng/index.html")</f>
        <v>https://dblp.org/db/conf/doceng/index.html</v>
      </c>
    </row>
    <row r="24">
      <c r="A24" s="68" t="str">
        <f>IFERROR(__xludf.DUMMYFUNCTION("""COMPUTED_VALUE"""),"Eventos da Área")</f>
        <v>Eventos da Área</v>
      </c>
      <c r="B24" s="57" t="str">
        <f>IFERROR(__xludf.DUMMYFUNCTION("""COMPUTED_VALUE"""),"IH&amp;MMSec")</f>
        <v>IH&amp;MMSec</v>
      </c>
      <c r="C24" s="57" t="str">
        <f>IFERROR(__xludf.DUMMYFUNCTION("""COMPUTED_VALUE"""),"ACM Workshop on Information Hiding and Multimedia Security")</f>
        <v>ACM Workshop on Information Hiding and Multimedia Security</v>
      </c>
      <c r="D24" s="67">
        <f>IFERROR(__xludf.DUMMYFUNCTION("""COMPUTED_VALUE"""),21.0)</f>
        <v>21</v>
      </c>
      <c r="E24" s="147" t="str">
        <f>IFERROR(__xludf.DUMMYFUNCTION("""COMPUTED_VALUE"""),"https://scholar.google.com.br/citations?hl=en&amp;view_op=list_hcore&amp;venue=VXpZxWaAe0QJ.2023")</f>
        <v>https://scholar.google.com.br/citations?hl=en&amp;view_op=list_hcore&amp;venue=VXpZxWaAe0QJ.2023</v>
      </c>
      <c r="F24" s="57"/>
    </row>
    <row r="25">
      <c r="A25" s="68" t="str">
        <f>IFERROR(__xludf.DUMMYFUNCTION("""COMPUTED_VALUE"""),"Eventos da Área")</f>
        <v>Eventos da Área</v>
      </c>
      <c r="B25" s="57" t="str">
        <f>IFERROR(__xludf.DUMMYFUNCTION("""COMPUTED_VALUE"""),"SAC")</f>
        <v>SAC</v>
      </c>
      <c r="C25" s="57" t="str">
        <f>IFERROR(__xludf.DUMMYFUNCTION("""COMPUTED_VALUE"""),"ACM/SIGAPP Symposium On Applied Computing")</f>
        <v>ACM/SIGAPP Symposium On Applied Computing</v>
      </c>
      <c r="D25" s="67">
        <f>IFERROR(__xludf.DUMMYFUNCTION("""COMPUTED_VALUE"""),36.0)</f>
        <v>36</v>
      </c>
      <c r="E25" s="147" t="str">
        <f>IFERROR(__xludf.DUMMYFUNCTION("""COMPUTED_VALUE"""),"https://scholar.google.com/citations?hl=pt-BR&amp;view_op=list_hcore&amp;venue=eLhWa3qzEDsJ.2023")</f>
        <v>https://scholar.google.com/citations?hl=pt-BR&amp;view_op=list_hcore&amp;venue=eLhWa3qzEDsJ.2023</v>
      </c>
      <c r="F25" s="57"/>
      <c r="I25" s="60" t="str">
        <f>IFERROR(__xludf.DUMMYFUNCTION("""COMPUTED_VALUE"""),"https://dblp.org/db/conf/sac/index.html")</f>
        <v>https://dblp.org/db/conf/sac/index.html</v>
      </c>
    </row>
    <row r="26">
      <c r="A26" s="68" t="str">
        <f>IFERROR(__xludf.DUMMYFUNCTION("""COMPUTED_VALUE"""),"Eventos da Área")</f>
        <v>Eventos da Área</v>
      </c>
      <c r="B26" s="57" t="str">
        <f>IFERROR(__xludf.DUMMYFUNCTION("""COMPUTED_VALUE"""),"ASMS")</f>
        <v>ASMS</v>
      </c>
      <c r="C26" s="57" t="str">
        <f>IFERROR(__xludf.DUMMYFUNCTION("""COMPUTED_VALUE"""),"Advanced Satellite Multimedia Systems Conference")</f>
        <v>Advanced Satellite Multimedia Systems Conference</v>
      </c>
      <c r="D26" s="67">
        <f>IFERROR(__xludf.DUMMYFUNCTION("""COMPUTED_VALUE"""),14.0)</f>
        <v>14</v>
      </c>
      <c r="E26" s="147" t="str">
        <f>IFERROR(__xludf.DUMMYFUNCTION("""COMPUTED_VALUE"""),"https://scholar.google.com.br/citations?hl=en&amp;view_op=list_hcore&amp;venue=O90WS0zZyBYJ.2019")</f>
        <v>https://scholar.google.com.br/citations?hl=en&amp;view_op=list_hcore&amp;venue=O90WS0zZyBYJ.2019</v>
      </c>
      <c r="F26" s="57"/>
      <c r="I26" s="60" t="str">
        <f>IFERROR(__xludf.DUMMYFUNCTION("""COMPUTED_VALUE"""),"https://dblp.org/db/conf/asms-spsc/index.html")</f>
        <v>https://dblp.org/db/conf/asms-spsc/index.html</v>
      </c>
    </row>
    <row r="27">
      <c r="A27" s="68" t="str">
        <f>IFERROR(__xludf.DUMMYFUNCTION("""COMPUTED_VALUE"""),"Eventos da Área")</f>
        <v>Eventos da Área</v>
      </c>
      <c r="B27" s="57" t="str">
        <f>IFERROR(__xludf.DUMMYFUNCTION("""COMPUTED_VALUE"""),"ICASSP")</f>
        <v>ICASSP</v>
      </c>
      <c r="C27" s="57" t="str">
        <f>IFERROR(__xludf.DUMMYFUNCTION("""COMPUTED_VALUE"""),"IEEE International Conference on Acoustics, Speech and Signal Processing")</f>
        <v>IEEE International Conference on Acoustics, Speech and Signal Processing</v>
      </c>
      <c r="D27" s="67">
        <f>IFERROR(__xludf.DUMMYFUNCTION("""COMPUTED_VALUE"""),123.0)</f>
        <v>123</v>
      </c>
      <c r="E27" s="147" t="str">
        <f>IFERROR(__xludf.DUMMYFUNCTION("""COMPUTED_VALUE"""),"https://scholar.google.com/citations?hl=en&amp;vq=eng_signalprocessing&amp;view_op=list_hcore&amp;venue=HHC6AUo36fEJ.2023")</f>
        <v>https://scholar.google.com/citations?hl=en&amp;vq=eng_signalprocessing&amp;view_op=list_hcore&amp;venue=HHC6AUo36fEJ.2023</v>
      </c>
      <c r="F27" s="57"/>
      <c r="I27" s="60" t="str">
        <f>IFERROR(__xludf.DUMMYFUNCTION("""COMPUTED_VALUE"""),"https://dblp.org/db/conf/icassp/index.html")</f>
        <v>https://dblp.org/db/conf/icassp/index.html</v>
      </c>
    </row>
    <row r="28">
      <c r="A28" s="68" t="str">
        <f>IFERROR(__xludf.DUMMYFUNCTION("""COMPUTED_VALUE"""),"Eventos da Área")</f>
        <v>Eventos da Área</v>
      </c>
      <c r="B28" s="57" t="str">
        <f>IFERROR(__xludf.DUMMYFUNCTION("""COMPUTED_VALUE"""),"ICMEW")</f>
        <v>ICMEW</v>
      </c>
      <c r="C28" s="57" t="str">
        <f>IFERROR(__xludf.DUMMYFUNCTION("""COMPUTED_VALUE"""),"IEEE International Conference on Multimedia and Expo Workshops")</f>
        <v>IEEE International Conference on Multimedia and Expo Workshops</v>
      </c>
      <c r="D28" s="67">
        <f>IFERROR(__xludf.DUMMYFUNCTION("""COMPUTED_VALUE"""),22.0)</f>
        <v>22</v>
      </c>
      <c r="E28" s="147" t="str">
        <f>IFERROR(__xludf.DUMMYFUNCTION("""COMPUTED_VALUE"""),"https://scholar.google.com/citations?hl=pt-BR&amp;view_op=list_hcore&amp;venue=Nb-CRah8-lcJ.2023")</f>
        <v>https://scholar.google.com/citations?hl=pt-BR&amp;view_op=list_hcore&amp;venue=Nb-CRah8-lcJ.2023</v>
      </c>
      <c r="F28" s="57"/>
    </row>
    <row r="29">
      <c r="A29" s="68" t="str">
        <f>IFERROR(__xludf.DUMMYFUNCTION("""COMPUTED_VALUE"""),"Eventos da Área")</f>
        <v>Eventos da Área</v>
      </c>
      <c r="B29" s="57" t="str">
        <f>IFERROR(__xludf.DUMMYFUNCTION("""COMPUTED_VALUE"""),"WoWMoM")</f>
        <v>WoWMoM</v>
      </c>
      <c r="C29" s="57" t="str">
        <f>IFERROR(__xludf.DUMMYFUNCTION("""COMPUTED_VALUE"""),"IEEE International Symposium on a World of Wireless, Mobile and Multimedia Networks")</f>
        <v>IEEE International Symposium on a World of Wireless, Mobile and Multimedia Networks</v>
      </c>
      <c r="D29" s="67">
        <f>IFERROR(__xludf.DUMMYFUNCTION("""COMPUTED_VALUE"""),24.0)</f>
        <v>24</v>
      </c>
      <c r="E29" s="147" t="str">
        <f>IFERROR(__xludf.DUMMYFUNCTION("""COMPUTED_VALUE"""),"https://scholar.google.com/citations?hl=pt-BR&amp;view_op=list_hcore&amp;venue=N_9FWgf0qxMJ.2023")</f>
        <v>https://scholar.google.com/citations?hl=pt-BR&amp;view_op=list_hcore&amp;venue=N_9FWgf0qxMJ.2023</v>
      </c>
      <c r="F29" s="57"/>
      <c r="I29" s="60" t="str">
        <f>IFERROR(__xludf.DUMMYFUNCTION("""COMPUTED_VALUE"""),"https://dblp.org/db/conf/wowmom/index.html")</f>
        <v>https://dblp.org/db/conf/wowmom/index.html</v>
      </c>
    </row>
    <row r="30">
      <c r="A30" s="68" t="str">
        <f>IFERROR(__xludf.DUMMYFUNCTION("""COMPUTED_VALUE"""),"Eventos da Área")</f>
        <v>Eventos da Área</v>
      </c>
      <c r="B30" s="57" t="str">
        <f>IFERROR(__xludf.DUMMYFUNCTION("""COMPUTED_VALUE"""),"BMSB")</f>
        <v>BMSB</v>
      </c>
      <c r="C30" s="57" t="str">
        <f>IFERROR(__xludf.DUMMYFUNCTION("""COMPUTED_VALUE"""),"IEEE International Symposium on Broadband Multimedia Systems and Broadcasting")</f>
        <v>IEEE International Symposium on Broadband Multimedia Systems and Broadcasting</v>
      </c>
      <c r="D30" s="67">
        <f>IFERROR(__xludf.DUMMYFUNCTION("""COMPUTED_VALUE"""),16.0)</f>
        <v>16</v>
      </c>
      <c r="E30" s="147" t="str">
        <f>IFERROR(__xludf.DUMMYFUNCTION("""COMPUTED_VALUE"""),"https://scholar.google.com/citations?hl=pt-BR&amp;view_op=list_hcore&amp;venue=vaFgnAHDc38J.2023")</f>
        <v>https://scholar.google.com/citations?hl=pt-BR&amp;view_op=list_hcore&amp;venue=vaFgnAHDc38J.2023</v>
      </c>
      <c r="F30" s="57"/>
      <c r="I30" s="60" t="str">
        <f>IFERROR(__xludf.DUMMYFUNCTION("""COMPUTED_VALUE"""),"https://dblp.org/db/conf/bmsb/index.html")</f>
        <v>https://dblp.org/db/conf/bmsb/index.html</v>
      </c>
    </row>
    <row r="31">
      <c r="A31" s="68" t="str">
        <f>IFERROR(__xludf.DUMMYFUNCTION("""COMPUTED_VALUE"""),"Eventos da Área")</f>
        <v>Eventos da Área</v>
      </c>
      <c r="B31" s="57" t="str">
        <f>IFERROR(__xludf.DUMMYFUNCTION("""COMPUTED_VALUE"""),"ISM")</f>
        <v>ISM</v>
      </c>
      <c r="C31" s="57" t="str">
        <f>IFERROR(__xludf.DUMMYFUNCTION("""COMPUTED_VALUE"""),"IEEE International Symposium on Multimedia")</f>
        <v>IEEE International Symposium on Multimedia</v>
      </c>
      <c r="D31" s="67">
        <f>IFERROR(__xludf.DUMMYFUNCTION("""COMPUTED_VALUE"""),17.0)</f>
        <v>17</v>
      </c>
      <c r="E31" s="147" t="str">
        <f>IFERROR(__xludf.DUMMYFUNCTION("""COMPUTED_VALUE"""),"https://scholar.google.com/citations?hl=pt-BR&amp;view_op=list_hcore&amp;venue=np9OvZCkWLIJ.2023")</f>
        <v>https://scholar.google.com/citations?hl=pt-BR&amp;view_op=list_hcore&amp;venue=np9OvZCkWLIJ.2023</v>
      </c>
      <c r="F31" s="57"/>
      <c r="I31" s="60" t="str">
        <f>IFERROR(__xludf.DUMMYFUNCTION("""COMPUTED_VALUE"""),"https://dblp.org/db/conf/ism/index.html")</f>
        <v>https://dblp.org/db/conf/ism/index.html</v>
      </c>
    </row>
    <row r="32">
      <c r="A32" s="68" t="str">
        <f>IFERROR(__xludf.DUMMYFUNCTION("""COMPUTED_VALUE"""),"Eventos da Área")</f>
        <v>Eventos da Área</v>
      </c>
      <c r="B32" s="57" t="str">
        <f>IFERROR(__xludf.DUMMYFUNCTION("""COMPUTED_VALUE"""),"MMSP")</f>
        <v>MMSP</v>
      </c>
      <c r="C32" s="57" t="str">
        <f>IFERROR(__xludf.DUMMYFUNCTION("""COMPUTED_VALUE"""),"IEEE Workshop on Multimedia Signal Processing")</f>
        <v>IEEE Workshop on Multimedia Signal Processing</v>
      </c>
      <c r="D32" s="67">
        <f>IFERROR(__xludf.DUMMYFUNCTION("""COMPUTED_VALUE"""),20.0)</f>
        <v>20</v>
      </c>
      <c r="E32" s="147" t="str">
        <f>IFERROR(__xludf.DUMMYFUNCTION("""COMPUTED_VALUE"""),"https://scholar.google.com.br/citations?hl=en&amp;view_op=list_hcore&amp;venue=_45azmq7lgwJ.2023")</f>
        <v>https://scholar.google.com.br/citations?hl=en&amp;view_op=list_hcore&amp;venue=_45azmq7lgwJ.2023</v>
      </c>
      <c r="F32" s="57"/>
      <c r="I32" s="60" t="str">
        <f>IFERROR(__xludf.DUMMYFUNCTION("""COMPUTED_VALUE"""),"https://dblp.org/db/conf/mmsp/index.html")</f>
        <v>https://dblp.org/db/conf/mmsp/index.html</v>
      </c>
    </row>
    <row r="33">
      <c r="A33" s="68" t="str">
        <f>IFERROR(__xludf.DUMMYFUNCTION("""COMPUTED_VALUE"""),"Eventos da Área")</f>
        <v>Eventos da Área</v>
      </c>
      <c r="B33" s="57" t="str">
        <f>IFERROR(__xludf.DUMMYFUNCTION("""COMPUTED_VALUE"""),"MoMM")</f>
        <v>MoMM</v>
      </c>
      <c r="C33" s="57" t="str">
        <f>IFERROR(__xludf.DUMMYFUNCTION("""COMPUTED_VALUE"""),"International Conference on Advances in Mobile Computing &amp; Multimedia")</f>
        <v>International Conference on Advances in Mobile Computing &amp; Multimedia</v>
      </c>
      <c r="D33" s="67">
        <f>IFERROR(__xludf.DUMMYFUNCTION("""COMPUTED_VALUE"""),9.0)</f>
        <v>9</v>
      </c>
      <c r="E33" s="147" t="str">
        <f>IFERROR(__xludf.DUMMYFUNCTION("""COMPUTED_VALUE"""),"https://scholar.google.com/citations?hl=pt-BR&amp;view_op=list_hcore&amp;venue=PZoAL1XKdJoJ.2022")</f>
        <v>https://scholar.google.com/citations?hl=pt-BR&amp;view_op=list_hcore&amp;venue=PZoAL1XKdJoJ.2022</v>
      </c>
      <c r="F33" s="57"/>
      <c r="I33" s="60" t="str">
        <f>IFERROR(__xludf.DUMMYFUNCTION("""COMPUTED_VALUE"""),"https://dblp.org/db/conf/momm/index.html")</f>
        <v>https://dblp.org/db/conf/momm/index.html</v>
      </c>
    </row>
    <row r="34">
      <c r="A34" s="68" t="str">
        <f>IFERROR(__xludf.DUMMYFUNCTION("""COMPUTED_VALUE"""),"Eventos da Área")</f>
        <v>Eventos da Área</v>
      </c>
      <c r="B34" s="57" t="str">
        <f>IFERROR(__xludf.DUMMYFUNCTION("""COMPUTED_VALUE"""),"MUM")</f>
        <v>MUM</v>
      </c>
      <c r="C34" s="57" t="str">
        <f>IFERROR(__xludf.DUMMYFUNCTION("""COMPUTED_VALUE"""),"International Conference on Mobile and Ubiquitous Multimedia")</f>
        <v>International Conference on Mobile and Ubiquitous Multimedia</v>
      </c>
      <c r="D34" s="67">
        <f>IFERROR(__xludf.DUMMYFUNCTION("""COMPUTED_VALUE"""),18.0)</f>
        <v>18</v>
      </c>
      <c r="E34" s="147" t="str">
        <f>IFERROR(__xludf.DUMMYFUNCTION("""COMPUTED_VALUE"""),"https://scholar.google.com/citations?hl=pt-BR&amp;view_op=list_hcore&amp;venue=ZC8PGgykt-EJ.2023")</f>
        <v>https://scholar.google.com/citations?hl=pt-BR&amp;view_op=list_hcore&amp;venue=ZC8PGgykt-EJ.2023</v>
      </c>
      <c r="F34" s="57"/>
      <c r="I34" s="60" t="str">
        <f>IFERROR(__xludf.DUMMYFUNCTION("""COMPUTED_VALUE"""),"https://dblp.org/db/conf/mum/index.html")</f>
        <v>https://dblp.org/db/conf/mum/index.html</v>
      </c>
    </row>
    <row r="35">
      <c r="A35" s="68" t="str">
        <f>IFERROR(__xludf.DUMMYFUNCTION("""COMPUTED_VALUE"""),"Eventos da Área")</f>
        <v>Eventos da Área</v>
      </c>
      <c r="B35" s="57" t="str">
        <f>IFERROR(__xludf.DUMMYFUNCTION("""COMPUTED_VALUE"""),"ICWSM")</f>
        <v>ICWSM</v>
      </c>
      <c r="C35" s="57" t="str">
        <f>IFERROR(__xludf.DUMMYFUNCTION("""COMPUTED_VALUE"""),"International Conference on Web and Social Media")</f>
        <v>International Conference on Web and Social Media</v>
      </c>
      <c r="D35" s="67">
        <f>IFERROR(__xludf.DUMMYFUNCTION("""COMPUTED_VALUE"""),59.0)</f>
        <v>59</v>
      </c>
      <c r="E35" s="147" t="str">
        <f>IFERROR(__xludf.DUMMYFUNCTION("""COMPUTED_VALUE"""),"https://scholar.google.com.sg/citations?hl=en&amp;vq=eng_databasesinformationsystems&amp;view_op=list_hcore&amp;venue=eH4qSzdbVtwJ.2023")</f>
        <v>https://scholar.google.com.sg/citations?hl=en&amp;vq=eng_databasesinformationsystems&amp;view_op=list_hcore&amp;venue=eH4qSzdbVtwJ.2023</v>
      </c>
      <c r="F35" s="57"/>
      <c r="I35" s="60" t="str">
        <f>IFERROR(__xludf.DUMMYFUNCTION("""COMPUTED_VALUE"""),"https://dblp.org/db/conf/icwsm/index.html")</f>
        <v>https://dblp.org/db/conf/icwsm/index.html</v>
      </c>
    </row>
    <row r="36">
      <c r="A36" s="68" t="str">
        <f>IFERROR(__xludf.DUMMYFUNCTION("""COMPUTED_VALUE"""),"Eventos da Área")</f>
        <v>Eventos da Área</v>
      </c>
      <c r="B36" s="57" t="str">
        <f>IFERROR(__xludf.DUMMYFUNCTION("""COMPUTED_VALUE"""),"CBMI")</f>
        <v>CBMI</v>
      </c>
      <c r="C36" s="57" t="str">
        <f>IFERROR(__xludf.DUMMYFUNCTION("""COMPUTED_VALUE"""),"International Workshop on Content-Based Multimedia Indexing")</f>
        <v>International Workshop on Content-Based Multimedia Indexing</v>
      </c>
      <c r="D36" s="67">
        <f>IFERROR(__xludf.DUMMYFUNCTION("""COMPUTED_VALUE"""),16.0)</f>
        <v>16</v>
      </c>
      <c r="E36" s="147" t="str">
        <f>IFERROR(__xludf.DUMMYFUNCTION("""COMPUTED_VALUE"""),"https://scholar.google.com.br/citations?hl=en&amp;view_op=list_hcore&amp;venue=nZ1bm2kqGmUJ.2023")</f>
        <v>https://scholar.google.com.br/citations?hl=en&amp;view_op=list_hcore&amp;venue=nZ1bm2kqGmUJ.2023</v>
      </c>
      <c r="F36" s="57"/>
      <c r="I36" s="60" t="str">
        <f>IFERROR(__xludf.DUMMYFUNCTION("""COMPUTED_VALUE"""),"https://dblp.org/db/conf/cbmi/index.html")</f>
        <v>https://dblp.org/db/conf/cbmi/index.html</v>
      </c>
    </row>
    <row r="37">
      <c r="A37" s="68" t="str">
        <f>IFERROR(__xludf.DUMMYFUNCTION("""COMPUTED_VALUE"""),"Eventos da Área")</f>
        <v>Eventos da Área</v>
      </c>
      <c r="B37" s="57" t="str">
        <f>IFERROR(__xludf.DUMMYFUNCTION("""COMPUTED_VALUE"""),"CRIWG")</f>
        <v>CRIWG</v>
      </c>
      <c r="C37" s="57" t="str">
        <f>IFERROR(__xludf.DUMMYFUNCTION("""COMPUTED_VALUE"""),"International Workshop on Groupware")</f>
        <v>International Workshop on Groupware</v>
      </c>
      <c r="D37" s="67">
        <f>IFERROR(__xludf.DUMMYFUNCTION("""COMPUTED_VALUE"""),8.0)</f>
        <v>8</v>
      </c>
      <c r="E37" s="147" t="str">
        <f>IFERROR(__xludf.DUMMYFUNCTION("""COMPUTED_VALUE"""),"https://scholar.google.com/citations?hl=pt-BR&amp;view_op=list_hcore&amp;venue=DOUIAOEhqWUJ.2019")</f>
        <v>https://scholar.google.com/citations?hl=pt-BR&amp;view_op=list_hcore&amp;venue=DOUIAOEhqWUJ.2019</v>
      </c>
      <c r="F37" s="57"/>
      <c r="G37" t="str">
        <f>IFERROR(__xludf.DUMMYFUNCTION("""COMPUTED_VALUE"""),"International Conference on Collaboration Technologies and Social Computing")</f>
        <v>International Conference on Collaboration Technologies and Social Computing</v>
      </c>
      <c r="I37" s="60" t="str">
        <f>IFERROR(__xludf.DUMMYFUNCTION("""COMPUTED_VALUE"""),"https://dblp.org/db/conf/criwg/index.html")</f>
        <v>https://dblp.org/db/conf/criwg/index.html</v>
      </c>
    </row>
    <row r="38">
      <c r="A38" s="68" t="str">
        <f>IFERROR(__xludf.DUMMYFUNCTION("""COMPUTED_VALUE"""),"Eventos da Área")</f>
        <v>Eventos da Área</v>
      </c>
      <c r="B38" s="57" t="str">
        <f>IFERROR(__xludf.DUMMYFUNCTION("""COMPUTED_VALUE"""),"IMC")</f>
        <v>IMC</v>
      </c>
      <c r="C38" s="57" t="str">
        <f>IFERROR(__xludf.DUMMYFUNCTION("""COMPUTED_VALUE"""),"Internet Measurement Conference")</f>
        <v>Internet Measurement Conference</v>
      </c>
      <c r="D38" s="67">
        <f>IFERROR(__xludf.DUMMYFUNCTION("""COMPUTED_VALUE"""),45.0)</f>
        <v>45</v>
      </c>
      <c r="E38" s="147" t="str">
        <f>IFERROR(__xludf.DUMMYFUNCTION("""COMPUTED_VALUE"""),"https://scholar.google.com/citations?hl=pt-BR&amp;view_op=list_hcore&amp;venue=Yh-Vy_bHNYMJ.2023")</f>
        <v>https://scholar.google.com/citations?hl=pt-BR&amp;view_op=list_hcore&amp;venue=Yh-Vy_bHNYMJ.2023</v>
      </c>
      <c r="F38" s="57"/>
      <c r="I38" s="60" t="str">
        <f>IFERROR(__xludf.DUMMYFUNCTION("""COMPUTED_VALUE"""),"https://dblp.org/db/conf/imc/index.html")</f>
        <v>https://dblp.org/db/conf/imc/index.html</v>
      </c>
    </row>
    <row r="39">
      <c r="A39" s="68" t="str">
        <f>IFERROR(__xludf.DUMMYFUNCTION("""COMPUTED_VALUE"""),"Eventos da Área")</f>
        <v>Eventos da Área</v>
      </c>
      <c r="B39" t="str">
        <f>IFERROR(__xludf.DUMMYFUNCTION("""COMPUTED_VALUE"""),"SBCUP")</f>
        <v>SBCUP</v>
      </c>
      <c r="C39" t="str">
        <f>IFERROR(__xludf.DUMMYFUNCTION("""COMPUTED_VALUE"""),"Simpósio Brasileiro de Computação Ubíqua e Pervasiva")</f>
        <v>Simpósio Brasileiro de Computação Ubíqua e Pervasiva</v>
      </c>
      <c r="D39">
        <f>IFERROR(__xludf.DUMMYFUNCTION("""COMPUTED_VALUE"""),3.0)</f>
        <v>3</v>
      </c>
      <c r="E39" s="147" t="str">
        <f>IFERROR(__xludf.DUMMYFUNCTION("""COMPUTED_VALUE"""),"https://scholar.google.com/citations?hl=pt-BR&amp;view_op=list_hcore&amp;venue=KIaJcB9oivgJ.2023")</f>
        <v>https://scholar.google.com/citations?hl=pt-BR&amp;view_op=list_hcore&amp;venue=KIaJcB9oivgJ.2023</v>
      </c>
      <c r="J39" s="60" t="str">
        <f>IFERROR(__xludf.DUMMYFUNCTION("""COMPUTED_VALUE"""),"https://sol.sbc.org.br/index.php/sbcup")</f>
        <v>https://sol.sbc.org.br/index.php/sbcup</v>
      </c>
    </row>
    <row r="40">
      <c r="A40" s="68" t="str">
        <f>IFERROR(__xludf.DUMMYFUNCTION("""COMPUTED_VALUE"""),"Eventos da Área")</f>
        <v>Eventos da Área</v>
      </c>
      <c r="B40" t="str">
        <f>IFERROR(__xludf.DUMMYFUNCTION("""COMPUTED_VALUE"""),"UMAP")</f>
        <v>UMAP</v>
      </c>
      <c r="C40" t="str">
        <f>IFERROR(__xludf.DUMMYFUNCTION("""COMPUTED_VALUE"""),"User Modeling, Adaptation, and Personalization")</f>
        <v>User Modeling, Adaptation, and Personalization</v>
      </c>
      <c r="D40">
        <f>IFERROR(__xludf.DUMMYFUNCTION("""COMPUTED_VALUE"""),28.0)</f>
        <v>28</v>
      </c>
      <c r="E40" s="147" t="str">
        <f>IFERROR(__xludf.DUMMYFUNCTION("""COMPUTED_VALUE"""),"https://scholar.google.com/citations?hl=pt-BR&amp;view_op=list_hcore&amp;venue=jtXTIwcBWV8J.2023")</f>
        <v>https://scholar.google.com/citations?hl=pt-BR&amp;view_op=list_hcore&amp;venue=jtXTIwcBWV8J.2023</v>
      </c>
      <c r="I40" s="60" t="str">
        <f>IFERROR(__xludf.DUMMYFUNCTION("""COMPUTED_VALUE"""),"https://dblp.org/db/conf/um/index.html")</f>
        <v>https://dblp.org/db/conf/um/index.html</v>
      </c>
    </row>
    <row r="41">
      <c r="A41" s="68"/>
      <c r="E41" s="147"/>
    </row>
    <row r="42">
      <c r="A42" s="68"/>
    </row>
    <row r="43">
      <c r="A43" s="68"/>
    </row>
    <row r="44">
      <c r="A44" s="68"/>
    </row>
    <row r="45">
      <c r="A45" s="68"/>
    </row>
    <row r="46">
      <c r="A46" s="68"/>
    </row>
    <row r="47">
      <c r="A47" s="68"/>
    </row>
    <row r="48">
      <c r="A48" s="68"/>
    </row>
    <row r="49">
      <c r="A49" s="68"/>
    </row>
    <row r="50">
      <c r="A50" s="68"/>
    </row>
    <row r="51">
      <c r="A51" s="68"/>
    </row>
    <row r="52">
      <c r="A52" s="68"/>
    </row>
    <row r="53">
      <c r="A53" s="68"/>
    </row>
    <row r="54">
      <c r="A54" s="68"/>
    </row>
    <row r="55">
      <c r="A55" s="68"/>
    </row>
    <row r="56">
      <c r="A56" s="68"/>
    </row>
    <row r="57">
      <c r="A57" s="68"/>
    </row>
    <row r="58">
      <c r="A58" s="68"/>
    </row>
    <row r="59">
      <c r="A59" s="68"/>
    </row>
    <row r="60">
      <c r="A60" s="68"/>
    </row>
    <row r="61">
      <c r="A61" s="68"/>
    </row>
    <row r="62">
      <c r="A62" s="68"/>
    </row>
    <row r="63">
      <c r="A63" s="68"/>
    </row>
    <row r="64">
      <c r="A64" s="68"/>
    </row>
    <row r="65">
      <c r="A65" s="68"/>
    </row>
    <row r="66">
      <c r="A66" s="68"/>
    </row>
    <row r="67">
      <c r="A67" s="68"/>
    </row>
    <row r="68">
      <c r="A68" s="68"/>
    </row>
    <row r="69">
      <c r="A69" s="68"/>
    </row>
    <row r="70">
      <c r="A70" s="68"/>
    </row>
    <row r="71">
      <c r="A71" s="68"/>
    </row>
    <row r="72">
      <c r="A72" s="68"/>
    </row>
    <row r="73">
      <c r="A73" s="68"/>
    </row>
    <row r="74">
      <c r="A74" s="68"/>
    </row>
    <row r="75">
      <c r="A75" s="68"/>
    </row>
    <row r="76">
      <c r="A76" s="68"/>
    </row>
    <row r="77">
      <c r="A77" s="68"/>
    </row>
    <row r="78">
      <c r="A78" s="68"/>
    </row>
    <row r="79">
      <c r="A79" s="68"/>
    </row>
    <row r="80">
      <c r="A80" s="68"/>
    </row>
    <row r="81">
      <c r="A81" s="68"/>
    </row>
    <row r="82">
      <c r="A82" s="68"/>
    </row>
    <row r="83">
      <c r="A83" s="68"/>
    </row>
    <row r="84">
      <c r="A84" s="68"/>
    </row>
    <row r="85">
      <c r="A85" s="68"/>
    </row>
    <row r="86">
      <c r="A86" s="68"/>
    </row>
    <row r="87">
      <c r="A87" s="68"/>
    </row>
    <row r="88">
      <c r="A88" s="68"/>
    </row>
    <row r="89">
      <c r="A89" s="68"/>
    </row>
    <row r="90">
      <c r="A90" s="68"/>
    </row>
    <row r="91">
      <c r="A91" s="68"/>
    </row>
    <row r="92">
      <c r="A92" s="68"/>
    </row>
    <row r="93">
      <c r="A93" s="68"/>
    </row>
    <row r="94">
      <c r="A94" s="68"/>
    </row>
    <row r="95">
      <c r="A95" s="68"/>
    </row>
    <row r="96">
      <c r="A96" s="68"/>
    </row>
    <row r="97">
      <c r="A97" s="68"/>
    </row>
    <row r="98">
      <c r="A98" s="68"/>
    </row>
    <row r="99">
      <c r="A99" s="68"/>
    </row>
    <row r="100">
      <c r="A100" s="68"/>
    </row>
    <row r="101">
      <c r="A101" s="68"/>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J9"/>
    <hyperlink r:id="rId18" ref="E10"/>
    <hyperlink r:id="rId19" ref="I10"/>
    <hyperlink r:id="rId20" ref="E11"/>
    <hyperlink r:id="rId21" ref="I11"/>
    <hyperlink r:id="rId22" ref="E12"/>
    <hyperlink r:id="rId23" ref="I12"/>
    <hyperlink r:id="rId24" ref="E13"/>
    <hyperlink r:id="rId25" ref="J13"/>
    <hyperlink r:id="rId26" ref="E14"/>
    <hyperlink r:id="rId27" ref="I14"/>
    <hyperlink r:id="rId28" ref="E15"/>
    <hyperlink r:id="rId29" ref="I15"/>
    <hyperlink r:id="rId30" ref="E16"/>
    <hyperlink r:id="rId31" ref="I16"/>
    <hyperlink r:id="rId32" ref="E17"/>
    <hyperlink r:id="rId33" ref="E18"/>
    <hyperlink r:id="rId34" ref="I18"/>
    <hyperlink r:id="rId35" ref="E19"/>
    <hyperlink r:id="rId36" ref="I19"/>
    <hyperlink r:id="rId37" ref="E20"/>
    <hyperlink r:id="rId38" ref="I20"/>
    <hyperlink r:id="rId39" ref="E21"/>
    <hyperlink r:id="rId40" ref="I21"/>
    <hyperlink r:id="rId41" ref="E22"/>
    <hyperlink r:id="rId42" ref="I22"/>
    <hyperlink r:id="rId43" ref="E23"/>
    <hyperlink r:id="rId44" ref="I23"/>
    <hyperlink r:id="rId45" ref="E24"/>
    <hyperlink r:id="rId46" ref="E25"/>
    <hyperlink r:id="rId47" ref="I25"/>
    <hyperlink r:id="rId48" ref="E26"/>
    <hyperlink r:id="rId49" ref="I26"/>
    <hyperlink r:id="rId50" ref="E27"/>
    <hyperlink r:id="rId51" ref="I27"/>
    <hyperlink r:id="rId52" ref="E28"/>
    <hyperlink r:id="rId53" ref="E29"/>
    <hyperlink r:id="rId54" ref="I29"/>
    <hyperlink r:id="rId55" ref="E30"/>
    <hyperlink r:id="rId56" ref="I30"/>
    <hyperlink r:id="rId57" ref="E31"/>
    <hyperlink r:id="rId58" ref="I31"/>
    <hyperlink r:id="rId59" ref="E32"/>
    <hyperlink r:id="rId60" ref="I32"/>
    <hyperlink r:id="rId61" ref="E33"/>
    <hyperlink r:id="rId62" ref="I33"/>
    <hyperlink r:id="rId63" ref="E34"/>
    <hyperlink r:id="rId64" ref="I34"/>
    <hyperlink r:id="rId65" ref="E35"/>
    <hyperlink r:id="rId66" ref="I35"/>
    <hyperlink r:id="rId67" ref="E36"/>
    <hyperlink r:id="rId68" ref="I36"/>
    <hyperlink r:id="rId69" ref="E37"/>
    <hyperlink r:id="rId70" ref="I37"/>
    <hyperlink r:id="rId71" ref="E38"/>
    <hyperlink r:id="rId72" ref="I38"/>
    <hyperlink r:id="rId73" ref="E39"/>
    <hyperlink r:id="rId74" ref="J39"/>
    <hyperlink r:id="rId75" ref="E40"/>
    <hyperlink r:id="rId76" ref="I40"/>
  </hyperlinks>
  <drawing r:id="rId77"/>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80.75"/>
    <col customWidth="1" min="6" max="6" width="14.0"/>
    <col customWidth="1" min="7" max="7" width="29.38"/>
    <col customWidth="1" min="8" max="8" width="33.13"/>
    <col customWidth="1" min="9" max="9" width="38.63"/>
    <col customWidth="1" min="10" max="10" width="32.5"/>
  </cols>
  <sheetData>
    <row r="1">
      <c r="A1" s="1" t="str">
        <f>IFERROR(__xludf.DUMMYFUNCTION("importrange(""https://docs.google.com/spreadsheets/d/1CuZN4k4gVcTRMGxyk4CGXWitm-pYWvg9HTiFYgavjb4/edit#gid=1775232222"",""CE-RV!A1:J150"")"),"TOP")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58" t="str">
        <f>IFERROR(__xludf.DUMMYFUNCTION("""COMPUTED_VALUE"""),"Top 10")</f>
        <v>Top 10</v>
      </c>
      <c r="B2" s="175" t="str">
        <f>IFERROR(__xludf.DUMMYFUNCTION("""COMPUTED_VALUE"""),"VR")</f>
        <v>VR</v>
      </c>
      <c r="C2" s="175" t="str">
        <f>IFERROR(__xludf.DUMMYFUNCTION("""COMPUTED_VALUE"""),"IEEE Virtual Reality Conference")</f>
        <v>IEEE Virtual Reality Conference</v>
      </c>
      <c r="D2" s="176">
        <f>IFERROR(__xludf.DUMMYFUNCTION("""COMPUTED_VALUE"""),48.0)</f>
        <v>48</v>
      </c>
      <c r="E2" s="147" t="str">
        <f>IFERROR(__xludf.DUMMYFUNCTION("""COMPUTED_VALUE"""),"https://scholar.google.com.br/citations?hl=pt-BR&amp;view_op=list_hcore&amp;venue=muc8DCDEiWcJ.2024")</f>
        <v>https://scholar.google.com.br/citations?hl=pt-BR&amp;view_op=list_hcore&amp;venue=muc8DCDEiWcJ.2024</v>
      </c>
      <c r="F2" s="57"/>
      <c r="H2" t="str">
        <f>IFERROR(__xludf.DUMMYFUNCTION("""COMPUTED_VALUE"""),"IEEE Conference on Virtual Reality and 3D User Interfaces")</f>
        <v>IEEE Conference on Virtual Reality and 3D User Interfaces</v>
      </c>
      <c r="I2" s="60" t="str">
        <f>IFERROR(__xludf.DUMMYFUNCTION("""COMPUTED_VALUE"""),"https://dblp.org/db/conf/vr/index.html")</f>
        <v>https://dblp.org/db/conf/vr/index.html</v>
      </c>
    </row>
    <row r="3">
      <c r="A3" s="58" t="str">
        <f>IFERROR(__xludf.DUMMYFUNCTION("""COMPUTED_VALUE"""),"Top 10")</f>
        <v>Top 10</v>
      </c>
      <c r="B3" s="175" t="str">
        <f>IFERROR(__xludf.DUMMYFUNCTION("""COMPUTED_VALUE"""),"ISMAR")</f>
        <v>ISMAR</v>
      </c>
      <c r="C3" s="175" t="str">
        <f>IFERROR(__xludf.DUMMYFUNCTION("""COMPUTED_VALUE"""),"IEEE International Symposium on Mixed and Augmented Reality")</f>
        <v>IEEE International Symposium on Mixed and Augmented Reality</v>
      </c>
      <c r="D3" s="176">
        <f>IFERROR(__xludf.DUMMYFUNCTION("""COMPUTED_VALUE"""),35.0)</f>
        <v>35</v>
      </c>
      <c r="E3" s="147" t="str">
        <f>IFERROR(__xludf.DUMMYFUNCTION("""COMPUTED_VALUE"""),"https://scholar.google.com.br/citations?hl=en&amp;view_op=list_hcore&amp;venue=saKKhfQeF-MJ.2024")</f>
        <v>https://scholar.google.com.br/citations?hl=en&amp;view_op=list_hcore&amp;venue=saKKhfQeF-MJ.2024</v>
      </c>
      <c r="F3" s="57"/>
      <c r="H3" t="str">
        <f>IFERROR(__xludf.DUMMYFUNCTION("""COMPUTED_VALUE"""),"International Symposium on Mixed and Augmented Reality")</f>
        <v>International Symposium on Mixed and Augmented Reality</v>
      </c>
      <c r="I3" s="60" t="str">
        <f>IFERROR(__xludf.DUMMYFUNCTION("""COMPUTED_VALUE"""),"https://dblp.org/db/conf/ismar/index.html")</f>
        <v>https://dblp.org/db/conf/ismar/index.html</v>
      </c>
    </row>
    <row r="4">
      <c r="A4" s="58" t="str">
        <f>IFERROR(__xludf.DUMMYFUNCTION("""COMPUTED_VALUE"""),"Top 10")</f>
        <v>Top 10</v>
      </c>
      <c r="B4" s="175" t="str">
        <f>IFERROR(__xludf.DUMMYFUNCTION("""COMPUTED_VALUE"""),"AH")</f>
        <v>AH</v>
      </c>
      <c r="C4" s="175" t="str">
        <f>IFERROR(__xludf.DUMMYFUNCTION("""COMPUTED_VALUE"""),"Augmented Human International Conference")</f>
        <v>Augmented Human International Conference</v>
      </c>
      <c r="D4" s="176">
        <f>IFERROR(__xludf.DUMMYFUNCTION("""COMPUTED_VALUE"""),20.0)</f>
        <v>20</v>
      </c>
      <c r="E4" s="147" t="str">
        <f>IFERROR(__xludf.DUMMYFUNCTION("""COMPUTED_VALUE"""),"https://scholar.google.com.br/citations?hl=pt-BR&amp;view_op=list_hcore&amp;venue=HqiGvACsawYJ.2024")</f>
        <v>https://scholar.google.com.br/citations?hl=pt-BR&amp;view_op=list_hcore&amp;venue=HqiGvACsawYJ.2024</v>
      </c>
      <c r="F4" s="57"/>
      <c r="I4" s="60" t="str">
        <f>IFERROR(__xludf.DUMMYFUNCTION("""COMPUTED_VALUE"""),"https://dblp.org/db/conf/aughuman/index.html")</f>
        <v>https://dblp.org/db/conf/aughuman/index.html</v>
      </c>
    </row>
    <row r="5">
      <c r="A5" s="58" t="str">
        <f>IFERROR(__xludf.DUMMYFUNCTION("""COMPUTED_VALUE"""),"Top 10")</f>
        <v>Top 10</v>
      </c>
      <c r="B5" s="175" t="str">
        <f>IFERROR(__xludf.DUMMYFUNCTION("""COMPUTED_VALUE"""),"VRST")</f>
        <v>VRST</v>
      </c>
      <c r="C5" s="175" t="str">
        <f>IFERROR(__xludf.DUMMYFUNCTION("""COMPUTED_VALUE"""),"ACM Symposium on Virtual Reality Software and Technology")</f>
        <v>ACM Symposium on Virtual Reality Software and Technology</v>
      </c>
      <c r="D5" s="176">
        <f>IFERROR(__xludf.DUMMYFUNCTION("""COMPUTED_VALUE"""),26.0)</f>
        <v>26</v>
      </c>
      <c r="E5" s="147" t="str">
        <f>IFERROR(__xludf.DUMMYFUNCTION("""COMPUTED_VALUE"""),"https://scholar.google.com.br/citations?hl=pt-BR&amp;view_op=list_hcore&amp;venue=QFdzrecfz8sJ.2024")</f>
        <v>https://scholar.google.com.br/citations?hl=pt-BR&amp;view_op=list_hcore&amp;venue=QFdzrecfz8sJ.2024</v>
      </c>
      <c r="F5" s="57"/>
      <c r="H5" t="str">
        <f>IFERROR(__xludf.DUMMYFUNCTION("""COMPUTED_VALUE"""),"ACM Virtual Reality Software and Technology")</f>
        <v>ACM Virtual Reality Software and Technology</v>
      </c>
      <c r="I5" s="60" t="str">
        <f>IFERROR(__xludf.DUMMYFUNCTION("""COMPUTED_VALUE"""),"https://dblp.org/db/conf/vrst/index.html")</f>
        <v>https://dblp.org/db/conf/vrst/index.html</v>
      </c>
    </row>
    <row r="6">
      <c r="A6" s="58" t="str">
        <f>IFERROR(__xludf.DUMMYFUNCTION("""COMPUTED_VALUE"""),"Top 10")</f>
        <v>Top 10</v>
      </c>
      <c r="B6" s="175" t="str">
        <f>IFERROR(__xludf.DUMMYFUNCTION("""COMPUTED_VALUE"""),"VRCAI")</f>
        <v>VRCAI</v>
      </c>
      <c r="C6" s="175" t="str">
        <f>IFERROR(__xludf.DUMMYFUNCTION("""COMPUTED_VALUE"""),"International Conference on Virtual Reality Continuum and its Applications")</f>
        <v>International Conference on Virtual Reality Continuum and its Applications</v>
      </c>
      <c r="D6" s="177">
        <f>IFERROR(__xludf.DUMMYFUNCTION("""COMPUTED_VALUE"""),16.0)</f>
        <v>16</v>
      </c>
      <c r="E6" s="147" t="str">
        <f>IFERROR(__xludf.DUMMYFUNCTION("""COMPUTED_VALUE"""),"https://scholar.google.com.br/citations?hl=en&amp;view_op=list_hcore&amp;venue=_ClHVElQWS8J.2024")</f>
        <v>https://scholar.google.com.br/citations?hl=en&amp;view_op=list_hcore&amp;venue=_ClHVElQWS8J.2024</v>
      </c>
      <c r="F6" s="178"/>
      <c r="G6" t="str">
        <f>IFERROR(__xludf.DUMMYFUNCTION("""COMPUTED_VALUE"""),"International Conference on Virtual Reality Continuum and its Applications in Industry")</f>
        <v>International Conference on Virtual Reality Continuum and its Applications in Industry</v>
      </c>
      <c r="I6" s="60" t="str">
        <f>IFERROR(__xludf.DUMMYFUNCTION("""COMPUTED_VALUE"""),"https://dblp.org/db/conf/vrcai/index.html")</f>
        <v>https://dblp.org/db/conf/vrcai/index.html</v>
      </c>
    </row>
    <row r="7">
      <c r="A7" s="58" t="str">
        <f>IFERROR(__xludf.DUMMYFUNCTION("""COMPUTED_VALUE"""),"Top 10")</f>
        <v>Top 10</v>
      </c>
      <c r="B7" s="175" t="str">
        <f>IFERROR(__xludf.DUMMYFUNCTION("""COMPUTED_VALUE"""),"SVR")</f>
        <v>SVR</v>
      </c>
      <c r="C7" s="179" t="str">
        <f>IFERROR(__xludf.DUMMYFUNCTION("""COMPUTED_VALUE"""),"Symposium on Virtual and Augmented Reality")</f>
        <v>Symposium on Virtual and Augmented Reality</v>
      </c>
      <c r="D7" s="176">
        <f>IFERROR(__xludf.DUMMYFUNCTION("""COMPUTED_VALUE"""),14.0)</f>
        <v>14</v>
      </c>
      <c r="E7" s="147" t="str">
        <f>IFERROR(__xludf.DUMMYFUNCTION("""COMPUTED_VALUE"""),"https://scholar.google.com.br/citations?hl=pt-BR&amp;view_op=list_hcore&amp;venue=Y15SCgN8Um8J.2024")</f>
        <v>https://scholar.google.com.br/citations?hl=pt-BR&amp;view_op=list_hcore&amp;venue=Y15SCgN8Um8J.2024</v>
      </c>
      <c r="F7" s="180"/>
    </row>
    <row r="8">
      <c r="A8" s="58" t="str">
        <f>IFERROR(__xludf.DUMMYFUNCTION("""COMPUTED_VALUE"""),"Top 10")</f>
        <v>Top 10</v>
      </c>
      <c r="B8" s="175" t="str">
        <f>IFERROR(__xludf.DUMMYFUNCTION("""COMPUTED_VALUE"""),"SUI")</f>
        <v>SUI</v>
      </c>
      <c r="C8" s="175" t="str">
        <f>IFERROR(__xludf.DUMMYFUNCTION("""COMPUTED_VALUE"""),"Symposium on Spatial User Interaction")</f>
        <v>Symposium on Spatial User Interaction</v>
      </c>
      <c r="D8" s="176">
        <f>IFERROR(__xludf.DUMMYFUNCTION("""COMPUTED_VALUE"""),16.0)</f>
        <v>16</v>
      </c>
      <c r="E8" s="147" t="str">
        <f>IFERROR(__xludf.DUMMYFUNCTION("""COMPUTED_VALUE"""),"https://scholar.google.com.br/citations?hl=pt-BR&amp;view_op=list_hcore&amp;venue=pUIVy52VbeEJ.2024")</f>
        <v>https://scholar.google.com.br/citations?hl=pt-BR&amp;view_op=list_hcore&amp;venue=pUIVy52VbeEJ.2024</v>
      </c>
      <c r="F8" s="57"/>
      <c r="I8" s="60" t="str">
        <f>IFERROR(__xludf.DUMMYFUNCTION("""COMPUTED_VALUE"""),"https://dblp.org/db/conf/sui/index.html")</f>
        <v>https://dblp.org/db/conf/sui/index.html</v>
      </c>
    </row>
    <row r="9">
      <c r="A9" s="58" t="str">
        <f>IFERROR(__xludf.DUMMYFUNCTION("""COMPUTED_VALUE"""),"Top 10")</f>
        <v>Top 10</v>
      </c>
      <c r="B9" s="175" t="str">
        <f>IFERROR(__xludf.DUMMYFUNCTION("""COMPUTED_VALUE"""),"UIST")</f>
        <v>UIST</v>
      </c>
      <c r="C9" s="175" t="str">
        <f>IFERROR(__xludf.DUMMYFUNCTION("""COMPUTED_VALUE"""),"ACM Symposium on User Interface Software and Technology")</f>
        <v>ACM Symposium on User Interface Software and Technology</v>
      </c>
      <c r="D9" s="176">
        <f>IFERROR(__xludf.DUMMYFUNCTION("""COMPUTED_VALUE"""),51.0)</f>
        <v>51</v>
      </c>
      <c r="E9" s="147" t="str">
        <f>IFERROR(__xludf.DUMMYFUNCTION("""COMPUTED_VALUE"""),"https://scholar.google.com.br/citations?hl=pt-BR&amp;view_op=list_hcore&amp;venue=vl9z3BzoXrgJ.2024")</f>
        <v>https://scholar.google.com.br/citations?hl=pt-BR&amp;view_op=list_hcore&amp;venue=vl9z3BzoXrgJ.2024</v>
      </c>
      <c r="F9" s="57"/>
      <c r="I9" s="60" t="str">
        <f>IFERROR(__xludf.DUMMYFUNCTION("""COMPUTED_VALUE"""),"https://dblp.org/db/conf/uist/index.html")</f>
        <v>https://dblp.org/db/conf/uist/index.html</v>
      </c>
    </row>
    <row r="10">
      <c r="A10" s="58" t="str">
        <f>IFERROR(__xludf.DUMMYFUNCTION("""COMPUTED_VALUE"""),"Top 10")</f>
        <v>Top 10</v>
      </c>
      <c r="B10" s="175" t="str">
        <f>IFERROR(__xludf.DUMMYFUNCTION("""COMPUTED_VALUE"""),"HAPTICS")</f>
        <v>HAPTICS</v>
      </c>
      <c r="C10" s="175" t="str">
        <f>IFERROR(__xludf.DUMMYFUNCTION("""COMPUTED_VALUE"""),"IEEE Haptics Symposium")</f>
        <v>IEEE Haptics Symposium</v>
      </c>
      <c r="D10" s="176">
        <f>IFERROR(__xludf.DUMMYFUNCTION("""COMPUTED_VALUE"""),21.0)</f>
        <v>21</v>
      </c>
      <c r="E10" s="147" t="str">
        <f>IFERROR(__xludf.DUMMYFUNCTION("""COMPUTED_VALUE"""),"https://scholar.google.com.br/citations?hl=pt-BR&amp;view_op=search_venues&amp;vq=EuroHaptics&amp;btnG=")</f>
        <v>https://scholar.google.com.br/citations?hl=pt-BR&amp;view_op=search_venues&amp;vq=EuroHaptics&amp;btnG=</v>
      </c>
      <c r="F10" s="57"/>
      <c r="H10" t="str">
        <f>IFERROR(__xludf.DUMMYFUNCTION("""COMPUTED_VALUE"""),"World Haptics Conference (WHC)")</f>
        <v>World Haptics Conference (WHC)</v>
      </c>
      <c r="I10" s="60" t="str">
        <f>IFERROR(__xludf.DUMMYFUNCTION("""COMPUTED_VALUE"""),"https://dblp.org/db/conf/haptics/index.html")</f>
        <v>https://dblp.org/db/conf/haptics/index.html</v>
      </c>
    </row>
    <row r="11">
      <c r="A11" s="58" t="str">
        <f>IFERROR(__xludf.DUMMYFUNCTION("""COMPUTED_VALUE"""),"Top 10")</f>
        <v>Top 10</v>
      </c>
      <c r="B11" s="175" t="str">
        <f>IFERROR(__xludf.DUMMYFUNCTION("""COMPUTED_VALUE"""),"Web3D")</f>
        <v>Web3D</v>
      </c>
      <c r="C11" s="175" t="str">
        <f>IFERROR(__xludf.DUMMYFUNCTION("""COMPUTED_VALUE"""),"International Conference on 3D Web Technology")</f>
        <v>International Conference on 3D Web Technology</v>
      </c>
      <c r="D11" s="176">
        <f>IFERROR(__xludf.DUMMYFUNCTION("""COMPUTED_VALUE"""),10.0)</f>
        <v>10</v>
      </c>
      <c r="E11" s="147" t="str">
        <f>IFERROR(__xludf.DUMMYFUNCTION("""COMPUTED_VALUE"""),"https://scholar.google.com.br/citations?hl=pt-BR&amp;view_op=list_hcore&amp;venue=AI-4Soe4vNMJ.2024")</f>
        <v>https://scholar.google.com.br/citations?hl=pt-BR&amp;view_op=list_hcore&amp;venue=AI-4Soe4vNMJ.2024</v>
      </c>
      <c r="I11" s="60" t="str">
        <f>IFERROR(__xludf.DUMMYFUNCTION("""COMPUTED_VALUE"""),"https://dblp.org/db/conf/vrml/index.html")</f>
        <v>https://dblp.org/db/conf/vrml/index.html</v>
      </c>
    </row>
    <row r="12">
      <c r="A12" s="65" t="str">
        <f>IFERROR(__xludf.DUMMYFUNCTION("""COMPUTED_VALUE"""),"Top 20")</f>
        <v>Top 20</v>
      </c>
      <c r="B12" s="175" t="str">
        <f>IFERROR(__xludf.DUMMYFUNCTION("""COMPUTED_VALUE"""),"EICS")</f>
        <v>EICS</v>
      </c>
      <c r="C12" s="175" t="str">
        <f>IFERROR(__xludf.DUMMYFUNCTION("""COMPUTED_VALUE"""),"ACM SIGCHI Symposium on Engineering Interactive Computing Systems")</f>
        <v>ACM SIGCHI Symposium on Engineering Interactive Computing Systems</v>
      </c>
      <c r="D12" s="176">
        <f>IFERROR(__xludf.DUMMYFUNCTION("""COMPUTED_VALUE"""),12.0)</f>
        <v>12</v>
      </c>
      <c r="E12" s="147" t="str">
        <f>IFERROR(__xludf.DUMMYFUNCTION("""COMPUTED_VALUE"""),"https://scholar.google.com.br/citations?hl=pt-BR&amp;view_op=search_venues&amp;vq=ACM+SIGCHI+Symposium+on+Engineering+Interactive+Computing+Systems&amp;btnG=")</f>
        <v>https://scholar.google.com.br/citations?hl=pt-BR&amp;view_op=search_venues&amp;vq=ACM+SIGCHI+Symposium+on+Engineering+Interactive+Computing+Systems&amp;btnG=</v>
      </c>
      <c r="F12" s="57"/>
      <c r="I12" s="60" t="str">
        <f>IFERROR(__xludf.DUMMYFUNCTION("""COMPUTED_VALUE"""),"https://dblp.org/db/conf/eics/index.html")</f>
        <v>https://dblp.org/db/conf/eics/index.html</v>
      </c>
    </row>
    <row r="13">
      <c r="A13" s="65" t="str">
        <f>IFERROR(__xludf.DUMMYFUNCTION("""COMPUTED_VALUE"""),"Top 20")</f>
        <v>Top 20</v>
      </c>
      <c r="B13" s="175" t="str">
        <f>IFERROR(__xludf.DUMMYFUNCTION("""COMPUTED_VALUE"""),"GI")</f>
        <v>GI</v>
      </c>
      <c r="C13" s="175" t="str">
        <f>IFERROR(__xludf.DUMMYFUNCTION("""COMPUTED_VALUE"""),"Graphics Interface Conference")</f>
        <v>Graphics Interface Conference</v>
      </c>
      <c r="D13" s="176">
        <f>IFERROR(__xludf.DUMMYFUNCTION("""COMPUTED_VALUE"""),15.0)</f>
        <v>15</v>
      </c>
      <c r="E13" s="147" t="str">
        <f>IFERROR(__xludf.DUMMYFUNCTION("""COMPUTED_VALUE"""),"Não encontrado em 2024 - último em 2018")</f>
        <v>Não encontrado em 2024 - último em 2018</v>
      </c>
      <c r="F13" s="57"/>
      <c r="I13" s="60" t="str">
        <f>IFERROR(__xludf.DUMMYFUNCTION("""COMPUTED_VALUE"""),"https://dblp.org/db/conf/graphicsinterface/index.html
")</f>
        <v>https://dblp.org/db/conf/graphicsinterface/index.html
</v>
      </c>
    </row>
    <row r="14">
      <c r="A14" s="65" t="str">
        <f>IFERROR(__xludf.DUMMYFUNCTION("""COMPUTED_VALUE"""),"Top 20")</f>
        <v>Top 20</v>
      </c>
      <c r="B14" s="175" t="str">
        <f>IFERROR(__xludf.DUMMYFUNCTION("""COMPUTED_VALUE"""),"I3D")</f>
        <v>I3D</v>
      </c>
      <c r="C14" s="175" t="str">
        <f>IFERROR(__xludf.DUMMYFUNCTION("""COMPUTED_VALUE"""),"Symposium on Interactive 3D Graphics")</f>
        <v>Symposium on Interactive 3D Graphics</v>
      </c>
      <c r="D14" s="176">
        <f>IFERROR(__xludf.DUMMYFUNCTION("""COMPUTED_VALUE"""),15.0)</f>
        <v>15</v>
      </c>
      <c r="E14" s="147" t="str">
        <f>IFERROR(__xludf.DUMMYFUNCTION("""COMPUTED_VALUE"""),"Não encontrado em 2024 - último em 2021")</f>
        <v>Não encontrado em 2024 - último em 2021</v>
      </c>
      <c r="F14" s="57" t="str">
        <f>IFERROR(__xludf.DUMMYFUNCTION("""COMPUTED_VALUE"""),"SI3D")</f>
        <v>SI3D</v>
      </c>
      <c r="I14" s="60" t="str">
        <f>IFERROR(__xludf.DUMMYFUNCTION("""COMPUTED_VALUE"""),"https://dblp.org/db/conf/si3d/index.html")</f>
        <v>https://dblp.org/db/conf/si3d/index.html</v>
      </c>
    </row>
    <row r="15">
      <c r="A15" s="65" t="str">
        <f>IFERROR(__xludf.DUMMYFUNCTION("""COMPUTED_VALUE"""),"Top 20")</f>
        <v>Top 20</v>
      </c>
      <c r="B15" s="175" t="str">
        <f>IFERROR(__xludf.DUMMYFUNCTION("""COMPUTED_VALUE"""),"AVI")</f>
        <v>AVI</v>
      </c>
      <c r="C15" s="175" t="str">
        <f>IFERROR(__xludf.DUMMYFUNCTION("""COMPUTED_VALUE"""),"Working Conference on Advanced Visual Interfaces")</f>
        <v>Working Conference on Advanced Visual Interfaces</v>
      </c>
      <c r="D15" s="176">
        <f>IFERROR(__xludf.DUMMYFUNCTION("""COMPUTED_VALUE"""),15.0)</f>
        <v>15</v>
      </c>
      <c r="E15" s="147" t="str">
        <f>IFERROR(__xludf.DUMMYFUNCTION("""COMPUTED_VALUE"""),"https://scholar.google.com.br/citations?hl=pt-BR&amp;view_op=search_venues&amp;vq=Advanced+Visual+Interfaces&amp;btnG=")</f>
        <v>https://scholar.google.com.br/citations?hl=pt-BR&amp;view_op=search_venues&amp;vq=Advanced+Visual+Interfaces&amp;btnG=</v>
      </c>
      <c r="F15" s="57"/>
      <c r="H15" s="181"/>
      <c r="I15" s="60" t="str">
        <f>IFERROR(__xludf.DUMMYFUNCTION("""COMPUTED_VALUE"""),"https://dblp.org/db/conf/avi/index.html")</f>
        <v>https://dblp.org/db/conf/avi/index.html</v>
      </c>
    </row>
    <row r="16">
      <c r="A16" s="65" t="str">
        <f>IFERROR(__xludf.DUMMYFUNCTION("""COMPUTED_VALUE"""),"Top 20")</f>
        <v>Top 20</v>
      </c>
      <c r="B16" s="175" t="str">
        <f>IFERROR(__xludf.DUMMYFUNCTION("""COMPUTED_VALUE"""),"LDAV")</f>
        <v>LDAV</v>
      </c>
      <c r="C16" s="175" t="str">
        <f>IFERROR(__xludf.DUMMYFUNCTION("""COMPUTED_VALUE"""),"IEEE Symposium on Large Data Analysis and Visualization")</f>
        <v>IEEE Symposium on Large Data Analysis and Visualization</v>
      </c>
      <c r="D16" s="176">
        <f>IFERROR(__xludf.DUMMYFUNCTION("""COMPUTED_VALUE"""),13.0)</f>
        <v>13</v>
      </c>
      <c r="E16" s="147" t="str">
        <f>IFERROR(__xludf.DUMMYFUNCTION("""COMPUTED_VALUE"""),"Não encontrado em 2024 - último em 2018")</f>
        <v>Não encontrado em 2024 - último em 2018</v>
      </c>
      <c r="F16" s="57"/>
      <c r="I16" s="60" t="str">
        <f>IFERROR(__xludf.DUMMYFUNCTION("""COMPUTED_VALUE"""),"https://dblp.org/db/conf/ldav/index.html")</f>
        <v>https://dblp.org/db/conf/ldav/index.html</v>
      </c>
    </row>
    <row r="17">
      <c r="A17" s="65" t="str">
        <f>IFERROR(__xludf.DUMMYFUNCTION("""COMPUTED_VALUE"""),"Top 20")</f>
        <v>Top 20</v>
      </c>
      <c r="B17" s="175" t="str">
        <f>IFERROR(__xludf.DUMMYFUNCTION("""COMPUTED_VALUE"""),"EuroHaptics")</f>
        <v>EuroHaptics</v>
      </c>
      <c r="C17" s="175" t="str">
        <f>IFERROR(__xludf.DUMMYFUNCTION("""COMPUTED_VALUE"""),"EuroHaptics")</f>
        <v>EuroHaptics</v>
      </c>
      <c r="D17" s="176">
        <f>IFERROR(__xludf.DUMMYFUNCTION("""COMPUTED_VALUE"""),15.0)</f>
        <v>15</v>
      </c>
      <c r="E17" s="147" t="str">
        <f>IFERROR(__xludf.DUMMYFUNCTION("""COMPUTED_VALUE"""),"https://scholar.google.com.br/citations?hl=pt-BR&amp;view_op=list_hcore&amp;venue=G77T8N63lDIJ.2023")</f>
        <v>https://scholar.google.com.br/citations?hl=pt-BR&amp;view_op=list_hcore&amp;venue=G77T8N63lDIJ.2023</v>
      </c>
      <c r="F17" s="57"/>
      <c r="I17" s="60" t="str">
        <f>IFERROR(__xludf.DUMMYFUNCTION("""COMPUTED_VALUE"""),"https://dblp.org/db/conf/eurohaptics/index.html")</f>
        <v>https://dblp.org/db/conf/eurohaptics/index.html</v>
      </c>
    </row>
    <row r="18">
      <c r="A18" s="65" t="str">
        <f>IFERROR(__xludf.DUMMYFUNCTION("""COMPUTED_VALUE"""),"Top 20")</f>
        <v>Top 20</v>
      </c>
      <c r="B18" s="175" t="str">
        <f>IFERROR(__xludf.DUMMYFUNCTION("""COMPUTED_VALUE"""),"ISS")</f>
        <v>ISS</v>
      </c>
      <c r="C18" s="175" t="str">
        <f>IFERROR(__xludf.DUMMYFUNCTION("""COMPUTED_VALUE"""),"ACM Interactive Surfaces and Spaces")</f>
        <v>ACM Interactive Surfaces and Spaces</v>
      </c>
      <c r="D18" s="176">
        <f>IFERROR(__xludf.DUMMYFUNCTION("""COMPUTED_VALUE"""),14.0)</f>
        <v>14</v>
      </c>
      <c r="E18" s="147" t="str">
        <f>IFERROR(__xludf.DUMMYFUNCTION("""COMPUTED_VALUE"""),"https://scholar.google.com.br/citations?hl=en&amp;view_op=list_hcore&amp;venue=js1p_d4DBXkJ.2024")</f>
        <v>https://scholar.google.com.br/citations?hl=en&amp;view_op=list_hcore&amp;venue=js1p_d4DBXkJ.2024</v>
      </c>
      <c r="F18" s="57"/>
      <c r="I18" s="60" t="str">
        <f>IFERROR(__xludf.DUMMYFUNCTION("""COMPUTED_VALUE"""),"https://dblp.org/db/conf/tabletop/index.html")</f>
        <v>https://dblp.org/db/conf/tabletop/index.html</v>
      </c>
    </row>
    <row r="19">
      <c r="A19" s="65" t="str">
        <f>IFERROR(__xludf.DUMMYFUNCTION("""COMPUTED_VALUE"""),"Top 20")</f>
        <v>Top 20</v>
      </c>
      <c r="B19" s="175" t="str">
        <f>IFERROR(__xludf.DUMMYFUNCTION("""COMPUTED_VALUE"""),"VISAPP")</f>
        <v>VISAPP</v>
      </c>
      <c r="C19" s="175" t="str">
        <f>IFERROR(__xludf.DUMMYFUNCTION("""COMPUTED_VALUE"""),"International Conference on Computer Vision Theory and Applications")</f>
        <v>International Conference on Computer Vision Theory and Applications</v>
      </c>
      <c r="D19" s="176">
        <f>IFERROR(__xludf.DUMMYFUNCTION("""COMPUTED_VALUE"""),31.0)</f>
        <v>31</v>
      </c>
      <c r="E19" s="147" t="str">
        <f>IFERROR(__xludf.DUMMYFUNCTION("""COMPUTED_VALUE"""),"https://scholar.google.com.br/citations?hl=pt-BR&amp;view_op=list_hcore&amp;venue=ljGmmUmHfUwJ.2024")</f>
        <v>https://scholar.google.com.br/citations?hl=pt-BR&amp;view_op=list_hcore&amp;venue=ljGmmUmHfUwJ.2024</v>
      </c>
      <c r="F19" s="57"/>
    </row>
    <row r="20">
      <c r="A20" s="65" t="str">
        <f>IFERROR(__xludf.DUMMYFUNCTION("""COMPUTED_VALUE"""),"Top 20")</f>
        <v>Top 20</v>
      </c>
      <c r="B20" s="175" t="str">
        <f>IFERROR(__xludf.DUMMYFUNCTION("""COMPUTED_VALUE"""),"GRAPP")</f>
        <v>GRAPP</v>
      </c>
      <c r="C20" s="175" t="str">
        <f>IFERROR(__xludf.DUMMYFUNCTION("""COMPUTED_VALUE"""),"International Conference on Computer Graphics Theory and Applications")</f>
        <v>International Conference on Computer Graphics Theory and Applications</v>
      </c>
      <c r="D20" s="176">
        <f>IFERROR(__xludf.DUMMYFUNCTION("""COMPUTED_VALUE"""),10.0)</f>
        <v>10</v>
      </c>
      <c r="E20" s="147" t="str">
        <f>IFERROR(__xludf.DUMMYFUNCTION("""COMPUTED_VALUE"""),"https://scholar.google.com.br/citations?hl=pt-BR&amp;view_op=list_hcore&amp;venue=ulaSNA5ZgjEJ.2024")</f>
        <v>https://scholar.google.com.br/citations?hl=pt-BR&amp;view_op=list_hcore&amp;venue=ulaSNA5ZgjEJ.2024</v>
      </c>
      <c r="F20" s="57"/>
      <c r="I20" s="60" t="str">
        <f>IFERROR(__xludf.DUMMYFUNCTION("""COMPUTED_VALUE"""),"https://dblp.org/db/conf/grapp/index.html")</f>
        <v>https://dblp.org/db/conf/grapp/index.html</v>
      </c>
    </row>
    <row r="21">
      <c r="A21" s="65" t="str">
        <f>IFERROR(__xludf.DUMMYFUNCTION("""COMPUTED_VALUE"""),"Top 20")</f>
        <v>Top 20</v>
      </c>
      <c r="B21" s="175" t="str">
        <f>IFERROR(__xludf.DUMMYFUNCTION("""COMPUTED_VALUE"""),"AIxVR")</f>
        <v>AIxVR</v>
      </c>
      <c r="C21" s="175" t="str">
        <f>IFERROR(__xludf.DUMMYFUNCTION("""COMPUTED_VALUE"""),"IEEE International Conference on Artificial Intelligence &amp; eXtended and Virtual Reality")</f>
        <v>IEEE International Conference on Artificial Intelligence &amp; eXtended and Virtual Reality</v>
      </c>
      <c r="D21" s="176"/>
      <c r="E21" s="147" t="str">
        <f>IFERROR(__xludf.DUMMYFUNCTION("""COMPUTED_VALUE"""),"Não encontrado em 2024 - evento recente")</f>
        <v>Não encontrado em 2024 - evento recente</v>
      </c>
      <c r="F21" s="57"/>
      <c r="H21" t="str">
        <f>IFERROR(__xludf.DUMMYFUNCTION("""COMPUTED_VALUE"""),"IEEE AIVR")</f>
        <v>IEEE AIVR</v>
      </c>
      <c r="I21" s="60" t="str">
        <f>IFERROR(__xludf.DUMMYFUNCTION("""COMPUTED_VALUE"""),"https://dblp.org/db/conf/aivr/index.html")</f>
        <v>https://dblp.org/db/conf/aivr/index.html</v>
      </c>
    </row>
    <row r="22">
      <c r="A22" s="68" t="str">
        <f>IFERROR(__xludf.DUMMYFUNCTION("""COMPUTED_VALUE"""),"Eventos da Área")</f>
        <v>Eventos da Área</v>
      </c>
      <c r="B22" s="175" t="str">
        <f>IFERROR(__xludf.DUMMYFUNCTION("""COMPUTED_VALUE"""),"VMV")</f>
        <v>VMV</v>
      </c>
      <c r="C22" s="175" t="str">
        <f>IFERROR(__xludf.DUMMYFUNCTION("""COMPUTED_VALUE"""),"International Symposium on Vision, Modeling and Visualization")</f>
        <v>International Symposium on Vision, Modeling and Visualization</v>
      </c>
      <c r="D22" s="176">
        <f>IFERROR(__xludf.DUMMYFUNCTION("""COMPUTED_VALUE"""),1.0)</f>
        <v>1</v>
      </c>
      <c r="E22" s="147" t="str">
        <f>IFERROR(__xludf.DUMMYFUNCTION("""COMPUTED_VALUE"""),"Calculado com h-index calculator 2020-2024")</f>
        <v>Calculado com h-index calculator 2020-2024</v>
      </c>
      <c r="F22" s="57"/>
      <c r="I22" s="60" t="str">
        <f>IFERROR(__xludf.DUMMYFUNCTION("""COMPUTED_VALUE"""),"https://dblp.org/db/conf/vmv/index.html")</f>
        <v>https://dblp.org/db/conf/vmv/index.html</v>
      </c>
    </row>
    <row r="23">
      <c r="A23" s="68" t="str">
        <f>IFERROR(__xludf.DUMMYFUNCTION("""COMPUTED_VALUE"""),"Eventos da Área")</f>
        <v>Eventos da Área</v>
      </c>
      <c r="B23" s="175" t="str">
        <f>IFERROR(__xludf.DUMMYFUNCTION("""COMPUTED_VALUE"""),"CSCW")</f>
        <v>CSCW</v>
      </c>
      <c r="C23" s="175" t="str">
        <f>IFERROR(__xludf.DUMMYFUNCTION("""COMPUTED_VALUE"""),"ACM Conference on Computer-Supported Cooperative Work &amp; Social Computing")</f>
        <v>ACM Conference on Computer-Supported Cooperative Work &amp; Social Computing</v>
      </c>
      <c r="D23" s="176">
        <f>IFERROR(__xludf.DUMMYFUNCTION("""COMPUTED_VALUE"""),24.0)</f>
        <v>24</v>
      </c>
      <c r="E23" s="147" t="str">
        <f>IFERROR(__xludf.DUMMYFUNCTION("""COMPUTED_VALUE"""),"https://scholar.google.com.br/citations?hl=pt-BR&amp;vq=eng_humancomputerinteraction&amp;view_op=list_hcore&amp;venue=kXowlNFROIgJ.2024")</f>
        <v>https://scholar.google.com.br/citations?hl=pt-BR&amp;vq=eng_humancomputerinteraction&amp;view_op=list_hcore&amp;venue=kXowlNFROIgJ.2024</v>
      </c>
      <c r="F23" s="57"/>
    </row>
    <row r="24">
      <c r="A24" s="68" t="str">
        <f>IFERROR(__xludf.DUMMYFUNCTION("""COMPUTED_VALUE"""),"Eventos da Área")</f>
        <v>Eventos da Área</v>
      </c>
      <c r="B24" s="175" t="str">
        <f>IFERROR(__xludf.DUMMYFUNCTION("""COMPUTED_VALUE"""),"IVAPP")</f>
        <v>IVAPP</v>
      </c>
      <c r="C24" s="175" t="str">
        <f>IFERROR(__xludf.DUMMYFUNCTION("""COMPUTED_VALUE"""),"International Conference on Information Visualization Theory and Applications")</f>
        <v>International Conference on Information Visualization Theory and Applications</v>
      </c>
      <c r="D24" s="176">
        <f>IFERROR(__xludf.DUMMYFUNCTION("""COMPUTED_VALUE"""),3.0)</f>
        <v>3</v>
      </c>
      <c r="E24" s="147" t="str">
        <f>IFERROR(__xludf.DUMMYFUNCTION("""COMPUTED_VALUE"""),"Calculado com h-index calculator 2020-2024")</f>
        <v>Calculado com h-index calculator 2020-2024</v>
      </c>
      <c r="F24" s="57"/>
      <c r="I24" s="60" t="str">
        <f>IFERROR(__xludf.DUMMYFUNCTION("""COMPUTED_VALUE"""),"https://dblp.org/db/conf/ivapp/index.html")</f>
        <v>https://dblp.org/db/conf/ivapp/index.html</v>
      </c>
    </row>
    <row r="25">
      <c r="A25" s="68" t="str">
        <f>IFERROR(__xludf.DUMMYFUNCTION("""COMPUTED_VALUE"""),"Eventos da Área")</f>
        <v>Eventos da Área</v>
      </c>
      <c r="B25" s="175" t="str">
        <f>IFERROR(__xludf.DUMMYFUNCTION("""COMPUTED_VALUE"""),"RSS")</f>
        <v>RSS</v>
      </c>
      <c r="C25" s="175" t="str">
        <f>IFERROR(__xludf.DUMMYFUNCTION("""COMPUTED_VALUE"""),"Robotics: Science and Systems")</f>
        <v>Robotics: Science and Systems</v>
      </c>
      <c r="D25" s="176">
        <f>IFERROR(__xludf.DUMMYFUNCTION("""COMPUTED_VALUE"""),66.0)</f>
        <v>66</v>
      </c>
      <c r="E25" s="147" t="str">
        <f>IFERROR(__xludf.DUMMYFUNCTION("""COMPUTED_VALUE"""),"https://scholar.google.com.br/citations?hl=pt-BR&amp;view_op=list_hcore&amp;venue=jl5pTV5Sh0AJ.2024")</f>
        <v>https://scholar.google.com.br/citations?hl=pt-BR&amp;view_op=list_hcore&amp;venue=jl5pTV5Sh0AJ.2024</v>
      </c>
      <c r="F25" s="57"/>
      <c r="I25" s="60" t="str">
        <f>IFERROR(__xludf.DUMMYFUNCTION("""COMPUTED_VALUE"""),"https://dblp.org/db/conf/rss/index.html")</f>
        <v>https://dblp.org/db/conf/rss/index.html</v>
      </c>
    </row>
    <row r="26">
      <c r="A26" s="68" t="str">
        <f>IFERROR(__xludf.DUMMYFUNCTION("""COMPUTED_VALUE"""),"Eventos da Área")</f>
        <v>Eventos da Área</v>
      </c>
      <c r="B26" s="175" t="str">
        <f>IFERROR(__xludf.DUMMYFUNCTION("""COMPUTED_VALUE"""),"CVPRW")</f>
        <v>CVPRW</v>
      </c>
      <c r="C26" s="175" t="str">
        <f>IFERROR(__xludf.DUMMYFUNCTION("""COMPUTED_VALUE"""),"IEEE Conference on Computer Vision and Pattern Recognition Workshops")</f>
        <v>IEEE Conference on Computer Vision and Pattern Recognition Workshops</v>
      </c>
      <c r="D26" s="176">
        <f>IFERROR(__xludf.DUMMYFUNCTION("""COMPUTED_VALUE"""),115.0)</f>
        <v>115</v>
      </c>
      <c r="E26" s="147" t="str">
        <f>IFERROR(__xludf.DUMMYFUNCTION("""COMPUTED_VALUE"""),"https://scholar.google.com.br/citations?hl=pt-BR&amp;view_op=list_hcore&amp;venue=ihIDe6biV1gJ.2024")</f>
        <v>https://scholar.google.com.br/citations?hl=pt-BR&amp;view_op=list_hcore&amp;venue=ihIDe6biV1gJ.2024</v>
      </c>
      <c r="F26" s="57"/>
      <c r="I26" t="str">
        <f>IFERROR(__xludf.DUMMYFUNCTION("""COMPUTED_VALUE"""),"Workshops of CVPR (does not have dblp)")</f>
        <v>Workshops of CVPR (does not have dblp)</v>
      </c>
    </row>
    <row r="27">
      <c r="A27" s="68" t="str">
        <f>IFERROR(__xludf.DUMMYFUNCTION("""COMPUTED_VALUE"""),"Eventos da Área")</f>
        <v>Eventos da Área</v>
      </c>
      <c r="B27" s="175" t="str">
        <f>IFERROR(__xludf.DUMMYFUNCTION("""COMPUTED_VALUE"""),"BMVC")</f>
        <v>BMVC</v>
      </c>
      <c r="C27" s="175" t="str">
        <f>IFERROR(__xludf.DUMMYFUNCTION("""COMPUTED_VALUE"""),"British Machine Vision Conference")</f>
        <v>British Machine Vision Conference</v>
      </c>
      <c r="D27" s="176">
        <f>IFERROR(__xludf.DUMMYFUNCTION("""COMPUTED_VALUE"""),65.0)</f>
        <v>65</v>
      </c>
      <c r="E27" s="147" t="str">
        <f>IFERROR(__xludf.DUMMYFUNCTION("""COMPUTED_VALUE"""),"https://scholar.google.com.br/citations?hl=pt-BR&amp;view_op=list_hcore&amp;venue=T_DfB2ikUbwJ.2024")</f>
        <v>https://scholar.google.com.br/citations?hl=pt-BR&amp;view_op=list_hcore&amp;venue=T_DfB2ikUbwJ.2024</v>
      </c>
      <c r="F27" s="57"/>
      <c r="I27" s="60" t="str">
        <f>IFERROR(__xludf.DUMMYFUNCTION("""COMPUTED_VALUE"""),"https://dblp.org/db/conf/bmvc/index.html")</f>
        <v>https://dblp.org/db/conf/bmvc/index.html</v>
      </c>
    </row>
    <row r="28">
      <c r="A28" s="68" t="str">
        <f>IFERROR(__xludf.DUMMYFUNCTION("""COMPUTED_VALUE"""),"Eventos da Área")</f>
        <v>Eventos da Área</v>
      </c>
      <c r="B28" s="175" t="str">
        <f>IFERROR(__xludf.DUMMYFUNCTION("""COMPUTED_VALUE"""),"ICIP")</f>
        <v>ICIP</v>
      </c>
      <c r="C28" s="175" t="str">
        <f>IFERROR(__xludf.DUMMYFUNCTION("""COMPUTED_VALUE"""),"IEEE International Conference on Image Processing")</f>
        <v>IEEE International Conference on Image Processing</v>
      </c>
      <c r="D28" s="176">
        <f>IFERROR(__xludf.DUMMYFUNCTION("""COMPUTED_VALUE"""),66.0)</f>
        <v>66</v>
      </c>
      <c r="E28" s="147" t="str">
        <f>IFERROR(__xludf.DUMMYFUNCTION("""COMPUTED_VALUE"""),"https://scholar.google.com.br/citations?hl=pt-BR&amp;view_op=list_hcore&amp;venue=a9ZSGA40nccJ.2024")</f>
        <v>https://scholar.google.com.br/citations?hl=pt-BR&amp;view_op=list_hcore&amp;venue=a9ZSGA40nccJ.2024</v>
      </c>
      <c r="F28" s="57"/>
      <c r="I28" s="60" t="str">
        <f>IFERROR(__xludf.DUMMYFUNCTION("""COMPUTED_VALUE"""),"https://dblp.org/db/conf/icip/index.html")</f>
        <v>https://dblp.org/db/conf/icip/index.html</v>
      </c>
    </row>
    <row r="29">
      <c r="A29" s="68" t="str">
        <f>IFERROR(__xludf.DUMMYFUNCTION("""COMPUTED_VALUE"""),"Eventos da Área")</f>
        <v>Eventos da Área</v>
      </c>
      <c r="B29" s="175" t="str">
        <f>IFERROR(__xludf.DUMMYFUNCTION("""COMPUTED_VALUE"""),"WACV")</f>
        <v>WACV</v>
      </c>
      <c r="C29" s="175" t="str">
        <f>IFERROR(__xludf.DUMMYFUNCTION("""COMPUTED_VALUE"""),"Workshop on Applications of Computer Vision")</f>
        <v>Workshop on Applications of Computer Vision</v>
      </c>
      <c r="D29" s="176">
        <f>IFERROR(__xludf.DUMMYFUNCTION("""COMPUTED_VALUE"""),109.0)</f>
        <v>109</v>
      </c>
      <c r="E29" s="147" t="str">
        <f>IFERROR(__xludf.DUMMYFUNCTION("""COMPUTED_VALUE"""),"https://scholar.google.com.br/citations?hl=pt-BR&amp;view_op=list_hcore&amp;venue=uo-zCIky-iEJ.2024")</f>
        <v>https://scholar.google.com.br/citations?hl=pt-BR&amp;view_op=list_hcore&amp;venue=uo-zCIky-iEJ.2024</v>
      </c>
      <c r="F29" s="57"/>
      <c r="G29" t="str">
        <f>IFERROR(__xludf.DUMMYFUNCTION("""COMPUTED_VALUE"""),"IEEE/CVF Winter Conference on Applications of Computer Vision (WACV)
")</f>
        <v>IEEE/CVF Winter Conference on Applications of Computer Vision (WACV)
</v>
      </c>
      <c r="I29" s="60" t="str">
        <f>IFERROR(__xludf.DUMMYFUNCTION("""COMPUTED_VALUE"""),"https://dblp.org/db/conf/wacv/index.html")</f>
        <v>https://dblp.org/db/conf/wacv/index.html</v>
      </c>
    </row>
    <row r="30">
      <c r="A30" s="68" t="str">
        <f>IFERROR(__xludf.DUMMYFUNCTION("""COMPUTED_VALUE"""),"Eventos da Área")</f>
        <v>Eventos da Área</v>
      </c>
      <c r="B30" s="175" t="str">
        <f>IFERROR(__xludf.DUMMYFUNCTION("""COMPUTED_VALUE"""),"FG")</f>
        <v>FG</v>
      </c>
      <c r="C30" s="175" t="str">
        <f>IFERROR(__xludf.DUMMYFUNCTION("""COMPUTED_VALUE"""),"IEEE International Conference on Automatic Face and Gesture Recognition")</f>
        <v>IEEE International Conference on Automatic Face and Gesture Recognition</v>
      </c>
      <c r="D30" s="176">
        <f>IFERROR(__xludf.DUMMYFUNCTION("""COMPUTED_VALUE"""),43.0)</f>
        <v>43</v>
      </c>
      <c r="E30" s="147" t="str">
        <f>IFERROR(__xludf.DUMMYFUNCTION("""COMPUTED_VALUE"""),"https://scholar.google.com.br/citations?hl=pt-BR&amp;vq=eng_computervisionpatternrecognition&amp;view_op=list_hcore&amp;venue=tOKomDtxujwJ.2024")</f>
        <v>https://scholar.google.com.br/citations?hl=pt-BR&amp;vq=eng_computervisionpatternrecognition&amp;view_op=list_hcore&amp;venue=tOKomDtxujwJ.2024</v>
      </c>
      <c r="F30" s="57"/>
      <c r="I30" s="60" t="str">
        <f>IFERROR(__xludf.DUMMYFUNCTION("""COMPUTED_VALUE"""),"https://dblp.org/db/conf/fgr/index.html")</f>
        <v>https://dblp.org/db/conf/fgr/index.html</v>
      </c>
    </row>
    <row r="31">
      <c r="A31" s="68" t="str">
        <f>IFERROR(__xludf.DUMMYFUNCTION("""COMPUTED_VALUE"""),"Eventos da Área")</f>
        <v>Eventos da Área</v>
      </c>
      <c r="B31" s="175" t="str">
        <f>IFERROR(__xludf.DUMMYFUNCTION("""COMPUTED_VALUE"""),"HRI")</f>
        <v>HRI</v>
      </c>
      <c r="C31" s="175" t="str">
        <f>IFERROR(__xludf.DUMMYFUNCTION("""COMPUTED_VALUE"""),"ACM/IEEE International Conference on Human Robot Interaction")</f>
        <v>ACM/IEEE International Conference on Human Robot Interaction</v>
      </c>
      <c r="D31" s="176">
        <f>IFERROR(__xludf.DUMMYFUNCTION("""COMPUTED_VALUE"""),54.0)</f>
        <v>54</v>
      </c>
      <c r="E31" s="147" t="str">
        <f>IFERROR(__xludf.DUMMYFUNCTION("""COMPUTED_VALUE"""),"https://scholar.google.com.br/citations?hl=pt-BR&amp;view_op=list_hcore&amp;venue=ywdGSlWdBhkJ.2024")</f>
        <v>https://scholar.google.com.br/citations?hl=pt-BR&amp;view_op=list_hcore&amp;venue=ywdGSlWdBhkJ.2024</v>
      </c>
      <c r="F31" s="57"/>
      <c r="I31" s="60" t="str">
        <f>IFERROR(__xludf.DUMMYFUNCTION("""COMPUTED_VALUE"""),"https://dblp.org/db/conf/hri/index.html")</f>
        <v>https://dblp.org/db/conf/hri/index.html</v>
      </c>
    </row>
    <row r="32">
      <c r="A32" s="68" t="str">
        <f>IFERROR(__xludf.DUMMYFUNCTION("""COMPUTED_VALUE"""),"Eventos da Área")</f>
        <v>Eventos da Área</v>
      </c>
      <c r="B32" s="175" t="str">
        <f>IFERROR(__xludf.DUMMYFUNCTION("""COMPUTED_VALUE"""),"ICMR")</f>
        <v>ICMR</v>
      </c>
      <c r="C32" s="175" t="str">
        <f>IFERROR(__xludf.DUMMYFUNCTION("""COMPUTED_VALUE"""),"ACM International Conference on Multimedia Retrieval")</f>
        <v>ACM International Conference on Multimedia Retrieval</v>
      </c>
      <c r="D32" s="176">
        <f>IFERROR(__xludf.DUMMYFUNCTION("""COMPUTED_VALUE"""),34.0)</f>
        <v>34</v>
      </c>
      <c r="E32" s="147" t="str">
        <f>IFERROR(__xludf.DUMMYFUNCTION("""COMPUTED_VALUE"""),"https://scholar.google.com.br/citations?hl=pt-BR&amp;view_op=list_hcore&amp;venue=_3Q9NfFmueMJ.2024")</f>
        <v>https://scholar.google.com.br/citations?hl=pt-BR&amp;view_op=list_hcore&amp;venue=_3Q9NfFmueMJ.2024</v>
      </c>
      <c r="F32" s="57"/>
      <c r="I32" s="60" t="str">
        <f>IFERROR(__xludf.DUMMYFUNCTION("""COMPUTED_VALUE"""),"https://dblp.org/db/conf/mir/index.html")</f>
        <v>https://dblp.org/db/conf/mir/index.html</v>
      </c>
    </row>
    <row r="33">
      <c r="A33" s="68" t="str">
        <f>IFERROR(__xludf.DUMMYFUNCTION("""COMPUTED_VALUE"""),"Eventos da Área")</f>
        <v>Eventos da Área</v>
      </c>
      <c r="B33" s="175" t="str">
        <f>IFERROR(__xludf.DUMMYFUNCTION("""COMPUTED_VALUE"""),"SIGCSE")</f>
        <v>SIGCSE</v>
      </c>
      <c r="C33" s="175" t="str">
        <f>IFERROR(__xludf.DUMMYFUNCTION("""COMPUTED_VALUE"""),"ACM Technical Symposium on Computer Science Education")</f>
        <v>ACM Technical Symposium on Computer Science Education</v>
      </c>
      <c r="D33" s="176">
        <f>IFERROR(__xludf.DUMMYFUNCTION("""COMPUTED_VALUE"""),47.0)</f>
        <v>47</v>
      </c>
      <c r="E33" s="147" t="str">
        <f>IFERROR(__xludf.DUMMYFUNCTION("""COMPUTED_VALUE"""),"https://scholar.google.com.br/citations?hl=en&amp;view_op=list_hcore&amp;venue=rrlriATuz7wJ.2024")</f>
        <v>https://scholar.google.com.br/citations?hl=en&amp;view_op=list_hcore&amp;venue=rrlriATuz7wJ.2024</v>
      </c>
      <c r="F33" s="57"/>
      <c r="G33" t="str">
        <f>IFERROR(__xludf.DUMMYFUNCTION("""COMPUTED_VALUE"""),"Technical Symposium on Computer Science Education")</f>
        <v>Technical Symposium on Computer Science Education</v>
      </c>
      <c r="I33" s="60" t="str">
        <f>IFERROR(__xludf.DUMMYFUNCTION("""COMPUTED_VALUE"""),"https://dblp.org/db/conf/sigcse/index.html")</f>
        <v>https://dblp.org/db/conf/sigcse/index.html</v>
      </c>
    </row>
    <row r="34">
      <c r="A34" s="68" t="str">
        <f>IFERROR(__xludf.DUMMYFUNCTION("""COMPUTED_VALUE"""),"Eventos da Área")</f>
        <v>Eventos da Área</v>
      </c>
      <c r="B34" s="175" t="str">
        <f>IFERROR(__xludf.DUMMYFUNCTION("""COMPUTED_VALUE"""),"ACCV")</f>
        <v>ACCV</v>
      </c>
      <c r="C34" s="175" t="str">
        <f>IFERROR(__xludf.DUMMYFUNCTION("""COMPUTED_VALUE"""),"Asian Conference on Computer Vision")</f>
        <v>Asian Conference on Computer Vision</v>
      </c>
      <c r="D34" s="176">
        <f>IFERROR(__xludf.DUMMYFUNCTION("""COMPUTED_VALUE"""),39.0)</f>
        <v>39</v>
      </c>
      <c r="E34" s="147" t="str">
        <f>IFERROR(__xludf.DUMMYFUNCTION("""COMPUTED_VALUE"""),"https://scholar.google.com.br/citations?hl=pt-BR&amp;view_op=list_hcore&amp;venue=C6G2a_KY88AJ.2024")</f>
        <v>https://scholar.google.com.br/citations?hl=pt-BR&amp;view_op=list_hcore&amp;venue=C6G2a_KY88AJ.2024</v>
      </c>
      <c r="F34" s="57"/>
      <c r="I34" s="60" t="str">
        <f>IFERROR(__xludf.DUMMYFUNCTION("""COMPUTED_VALUE"""),"https://dblp.org/db/conf/accv/index.html")</f>
        <v>https://dblp.org/db/conf/accv/index.html</v>
      </c>
    </row>
    <row r="35">
      <c r="A35" s="68" t="str">
        <f>IFERROR(__xludf.DUMMYFUNCTION("""COMPUTED_VALUE"""),"Eventos da Área")</f>
        <v>Eventos da Área</v>
      </c>
      <c r="B35" s="175" t="str">
        <f>IFERROR(__xludf.DUMMYFUNCTION("""COMPUTED_VALUE"""),"ICMI")</f>
        <v>ICMI</v>
      </c>
      <c r="C35" s="175" t="str">
        <f>IFERROR(__xludf.DUMMYFUNCTION("""COMPUTED_VALUE"""),"International Conference on Multimodal Interfaces")</f>
        <v>International Conference on Multimodal Interfaces</v>
      </c>
      <c r="D35" s="176">
        <f>IFERROR(__xludf.DUMMYFUNCTION("""COMPUTED_VALUE"""),31.0)</f>
        <v>31</v>
      </c>
      <c r="E35" s="147" t="str">
        <f>IFERROR(__xludf.DUMMYFUNCTION("""COMPUTED_VALUE"""),"https://scholar.google.com.br/citations?hl=pt-BR&amp;vq=eng_humancomputerinteraction&amp;view_op=list_hcore&amp;venue=FeNM07eYolwJ.2024")</f>
        <v>https://scholar.google.com.br/citations?hl=pt-BR&amp;vq=eng_humancomputerinteraction&amp;view_op=list_hcore&amp;venue=FeNM07eYolwJ.2024</v>
      </c>
      <c r="F35" s="57"/>
      <c r="I35" s="60" t="str">
        <f>IFERROR(__xludf.DUMMYFUNCTION("""COMPUTED_VALUE"""),"https://dblp.org/db/conf/icmi/index.html")</f>
        <v>https://dblp.org/db/conf/icmi/index.html</v>
      </c>
    </row>
    <row r="36">
      <c r="A36" s="68" t="str">
        <f>IFERROR(__xludf.DUMMYFUNCTION("""COMPUTED_VALUE"""),"Eventos da Área")</f>
        <v>Eventos da Área</v>
      </c>
      <c r="B36" s="175" t="str">
        <f>IFERROR(__xludf.DUMMYFUNCTION("""COMPUTED_VALUE"""),"SAC")</f>
        <v>SAC</v>
      </c>
      <c r="C36" s="175" t="str">
        <f>IFERROR(__xludf.DUMMYFUNCTION("""COMPUTED_VALUE"""),"ACM Symposium on Applied Computing")</f>
        <v>ACM Symposium on Applied Computing</v>
      </c>
      <c r="D36" s="176">
        <f>IFERROR(__xludf.DUMMYFUNCTION("""COMPUTED_VALUE"""),36.0)</f>
        <v>36</v>
      </c>
      <c r="E36" s="147" t="str">
        <f>IFERROR(__xludf.DUMMYFUNCTION("""COMPUTED_VALUE"""),"https://scholar.google.com.br/citations?hl=pt-BR&amp;view_op=list_hcore&amp;venue=eLhWa3qzEDsJ.2024")</f>
        <v>https://scholar.google.com.br/citations?hl=pt-BR&amp;view_op=list_hcore&amp;venue=eLhWa3qzEDsJ.2024</v>
      </c>
      <c r="F36" s="57"/>
      <c r="I36" s="60" t="str">
        <f>IFERROR(__xludf.DUMMYFUNCTION("""COMPUTED_VALUE"""),"https://dblp.org/db/conf/sac/index.html")</f>
        <v>https://dblp.org/db/conf/sac/index.html</v>
      </c>
    </row>
    <row r="37">
      <c r="A37" s="68" t="str">
        <f>IFERROR(__xludf.DUMMYFUNCTION("""COMPUTED_VALUE"""),"Eventos da Área")</f>
        <v>Eventos da Área</v>
      </c>
      <c r="B37" s="175" t="str">
        <f>IFERROR(__xludf.DUMMYFUNCTION("""COMPUTED_VALUE"""),"ICUAS")</f>
        <v>ICUAS</v>
      </c>
      <c r="C37" s="175" t="str">
        <f>IFERROR(__xludf.DUMMYFUNCTION("""COMPUTED_VALUE"""),"International Conference on Unmanned Aircraft Systems")</f>
        <v>International Conference on Unmanned Aircraft Systems</v>
      </c>
      <c r="D37" s="176">
        <f>IFERROR(__xludf.DUMMYFUNCTION("""COMPUTED_VALUE"""),31.0)</f>
        <v>31</v>
      </c>
      <c r="E37" s="147" t="str">
        <f>IFERROR(__xludf.DUMMYFUNCTION("""COMPUTED_VALUE"""),"https://scholar.google.com.br/citations?hl=pt-BR&amp;vq=eng_robotics&amp;view_op=list_hcore&amp;venue=P7JmirE2spgJ.2024")</f>
        <v>https://scholar.google.com.br/citations?hl=pt-BR&amp;vq=eng_robotics&amp;view_op=list_hcore&amp;venue=P7JmirE2spgJ.2024</v>
      </c>
      <c r="F37" s="57"/>
    </row>
    <row r="38">
      <c r="A38" s="68" t="str">
        <f>IFERROR(__xludf.DUMMYFUNCTION("""COMPUTED_VALUE"""),"Eventos da Área")</f>
        <v>Eventos da Área</v>
      </c>
      <c r="B38" s="175" t="str">
        <f>IFERROR(__xludf.DUMMYFUNCTION("""COMPUTED_VALUE"""),"ICPR")</f>
        <v>ICPR</v>
      </c>
      <c r="C38" s="175" t="str">
        <f>IFERROR(__xludf.DUMMYFUNCTION("""COMPUTED_VALUE"""),"International Conference on Pattern Recognition")</f>
        <v>International Conference on Pattern Recognition</v>
      </c>
      <c r="D38" s="176">
        <f>IFERROR(__xludf.DUMMYFUNCTION("""COMPUTED_VALUE"""),56.0)</f>
        <v>56</v>
      </c>
      <c r="E38" s="147" t="str">
        <f>IFERROR(__xludf.DUMMYFUNCTION("""COMPUTED_VALUE"""),"https://scholar.google.com.br/citations?hl=pt-BR&amp;view_op=list_hcore&amp;venue=cVHg_1PrXPkJ.2024")</f>
        <v>https://scholar.google.com.br/citations?hl=pt-BR&amp;view_op=list_hcore&amp;venue=cVHg_1PrXPkJ.2024</v>
      </c>
      <c r="F38" s="57"/>
      <c r="I38" s="60" t="str">
        <f>IFERROR(__xludf.DUMMYFUNCTION("""COMPUTED_VALUE"""),"https://dblp.org/db/conf/icpr/index.html")</f>
        <v>https://dblp.org/db/conf/icpr/index.html</v>
      </c>
    </row>
    <row r="39">
      <c r="A39" s="68" t="str">
        <f>IFERROR(__xludf.DUMMYFUNCTION("""COMPUTED_VALUE"""),"Eventos da Área")</f>
        <v>Eventos da Área</v>
      </c>
      <c r="B39" s="175" t="str">
        <f>IFERROR(__xludf.DUMMYFUNCTION("""COMPUTED_VALUE"""),"IUI")</f>
        <v>IUI</v>
      </c>
      <c r="C39" s="175" t="str">
        <f>IFERROR(__xludf.DUMMYFUNCTION("""COMPUTED_VALUE"""),"International Conference on Intelligent User Interfaces")</f>
        <v>International Conference on Intelligent User Interfaces</v>
      </c>
      <c r="D39" s="176">
        <f>IFERROR(__xludf.DUMMYFUNCTION("""COMPUTED_VALUE"""),52.0)</f>
        <v>52</v>
      </c>
      <c r="E39" s="147" t="str">
        <f>IFERROR(__xludf.DUMMYFUNCTION("""COMPUTED_VALUE"""),"https://scholar.google.com.br/citations?hl=pt-BR&amp;vq=eng_humancomputerinteraction&amp;view_op=list_hcore&amp;venue=-_BzfdwqRVsJ.2024")</f>
        <v>https://scholar.google.com.br/citations?hl=pt-BR&amp;vq=eng_humancomputerinteraction&amp;view_op=list_hcore&amp;venue=-_BzfdwqRVsJ.2024</v>
      </c>
      <c r="F39" s="57"/>
      <c r="I39" s="60" t="str">
        <f>IFERROR(__xludf.DUMMYFUNCTION("""COMPUTED_VALUE"""),"https://dblp.org/db/conf/iui/index.html")</f>
        <v>https://dblp.org/db/conf/iui/index.html</v>
      </c>
    </row>
    <row r="40">
      <c r="A40" s="68" t="str">
        <f>IFERROR(__xludf.DUMMYFUNCTION("""COMPUTED_VALUE"""),"Eventos da Área")</f>
        <v>Eventos da Área</v>
      </c>
      <c r="B40" s="175" t="str">
        <f>IFERROR(__xludf.DUMMYFUNCTION("""COMPUTED_VALUE"""),"MMSys")</f>
        <v>MMSys</v>
      </c>
      <c r="C40" s="175" t="str">
        <f>IFERROR(__xludf.DUMMYFUNCTION("""COMPUTED_VALUE"""),"ACM Multimedia Systems Conference")</f>
        <v>ACM Multimedia Systems Conference</v>
      </c>
      <c r="D40" s="176">
        <f>IFERROR(__xludf.DUMMYFUNCTION("""COMPUTED_VALUE"""),28.0)</f>
        <v>28</v>
      </c>
      <c r="E40" s="147" t="str">
        <f>IFERROR(__xludf.DUMMYFUNCTION("""COMPUTED_VALUE"""),"https://scholar.google.com.br/citations?hl=pt-BR&amp;vq=eng_multimedia&amp;view_op=list_hcore&amp;venue=iRTf4ImdsEQJ.2024")</f>
        <v>https://scholar.google.com.br/citations?hl=pt-BR&amp;vq=eng_multimedia&amp;view_op=list_hcore&amp;venue=iRTf4ImdsEQJ.2024</v>
      </c>
      <c r="F40" s="57"/>
      <c r="I40" s="60" t="str">
        <f>IFERROR(__xludf.DUMMYFUNCTION("""COMPUTED_VALUE"""),"https://dblp.org/db/conf/mmsys/index.html")</f>
        <v>https://dblp.org/db/conf/mmsys/index.html</v>
      </c>
    </row>
    <row r="41">
      <c r="A41" s="68" t="str">
        <f>IFERROR(__xludf.DUMMYFUNCTION("""COMPUTED_VALUE"""),"Eventos da Área")</f>
        <v>Eventos da Área</v>
      </c>
      <c r="B41" s="175" t="str">
        <f>IFERROR(__xludf.DUMMYFUNCTION("""COMPUTED_VALUE"""),"HCII")</f>
        <v>HCII</v>
      </c>
      <c r="C41" s="175" t="str">
        <f>IFERROR(__xludf.DUMMYFUNCTION("""COMPUTED_VALUE"""),"International Conference on Human-­‐Computer Interaction")</f>
        <v>International Conference on Human-­‐Computer Interaction</v>
      </c>
      <c r="D41" s="176">
        <f>IFERROR(__xludf.DUMMYFUNCTION("""COMPUTED_VALUE"""),41.0)</f>
        <v>41</v>
      </c>
      <c r="E41" s="147" t="str">
        <f>IFERROR(__xludf.DUMMYFUNCTION("""COMPUTED_VALUE"""),"https://scholar.google.com/citations?hl=en&amp;view_op=list_hcore&amp;venue=v05i1s2aH5wJ.2024")</f>
        <v>https://scholar.google.com/citations?hl=en&amp;view_op=list_hcore&amp;venue=v05i1s2aH5wJ.2024</v>
      </c>
      <c r="F41" s="57"/>
      <c r="I41" s="60" t="str">
        <f>IFERROR(__xludf.DUMMYFUNCTION("""COMPUTED_VALUE"""),"https://dblp.org/db/conf/hci/index.html")</f>
        <v>https://dblp.org/db/conf/hci/index.html</v>
      </c>
    </row>
    <row r="42">
      <c r="A42" s="68" t="str">
        <f>IFERROR(__xludf.DUMMYFUNCTION("""COMPUTED_VALUE"""),"Eventos da Área")</f>
        <v>Eventos da Área</v>
      </c>
      <c r="B42" s="175" t="str">
        <f>IFERROR(__xludf.DUMMYFUNCTION("""COMPUTED_VALUE"""),"ICME")</f>
        <v>ICME</v>
      </c>
      <c r="C42" s="175" t="str">
        <f>IFERROR(__xludf.DUMMYFUNCTION("""COMPUTED_VALUE"""),"IEEE International Conference on Multimedia and Expo")</f>
        <v>IEEE International Conference on Multimedia and Expo</v>
      </c>
      <c r="D42" s="176">
        <f>IFERROR(__xludf.DUMMYFUNCTION("""COMPUTED_VALUE"""),46.0)</f>
        <v>46</v>
      </c>
      <c r="E42" s="147" t="str">
        <f>IFERROR(__xludf.DUMMYFUNCTION("""COMPUTED_VALUE"""),"https://scholar.google.com.br/citations?hl=pt-BR&amp;view_op=list_hcore&amp;venue=xYXdFLRJbCMJ.2024")</f>
        <v>https://scholar.google.com.br/citations?hl=pt-BR&amp;view_op=list_hcore&amp;venue=xYXdFLRJbCMJ.2024</v>
      </c>
      <c r="F42" s="57"/>
      <c r="I42" s="60" t="str">
        <f>IFERROR(__xludf.DUMMYFUNCTION("""COMPUTED_VALUE"""),"https://dblp.org/db/conf/icmcs/index.html")</f>
        <v>https://dblp.org/db/conf/icmcs/index.html</v>
      </c>
    </row>
    <row r="43">
      <c r="A43" s="68" t="str">
        <f>IFERROR(__xludf.DUMMYFUNCTION("""COMPUTED_VALUE"""),"Eventos da Área")</f>
        <v>Eventos da Área</v>
      </c>
      <c r="B43" s="175" t="str">
        <f>IFERROR(__xludf.DUMMYFUNCTION("""COMPUTED_VALUE"""),"CVPR")</f>
        <v>CVPR</v>
      </c>
      <c r="C43" s="175" t="str">
        <f>IFERROR(__xludf.DUMMYFUNCTION("""COMPUTED_VALUE"""),"IEEE Conference on Computer Vision and Pattern Recognition")</f>
        <v>IEEE Conference on Computer Vision and Pattern Recognition</v>
      </c>
      <c r="D43" s="176">
        <f>IFERROR(__xludf.DUMMYFUNCTION("""COMPUTED_VALUE"""),440.0)</f>
        <v>440</v>
      </c>
      <c r="E43" s="147" t="str">
        <f>IFERROR(__xludf.DUMMYFUNCTION("""COMPUTED_VALUE"""),"https://scholar.google.com.br/citations?hl=pt-BR&amp;view_op=list_hcore&amp;venue=FXe-a9w0eycJ.2024")</f>
        <v>https://scholar.google.com.br/citations?hl=pt-BR&amp;view_op=list_hcore&amp;venue=FXe-a9w0eycJ.2024</v>
      </c>
      <c r="F43" s="57"/>
      <c r="I43" s="60" t="str">
        <f>IFERROR(__xludf.DUMMYFUNCTION("""COMPUTED_VALUE"""),"https://dblp.org/db/conf/cvpr/index.html")</f>
        <v>https://dblp.org/db/conf/cvpr/index.html</v>
      </c>
    </row>
    <row r="44">
      <c r="A44" s="68" t="str">
        <f>IFERROR(__xludf.DUMMYFUNCTION("""COMPUTED_VALUE"""),"Eventos da Área")</f>
        <v>Eventos da Área</v>
      </c>
      <c r="B44" s="175" t="str">
        <f>IFERROR(__xludf.DUMMYFUNCTION("""COMPUTED_VALUE"""),"CHI")</f>
        <v>CHI</v>
      </c>
      <c r="C44" s="175" t="str">
        <f>IFERROR(__xludf.DUMMYFUNCTION("""COMPUTED_VALUE"""),"ACM Conference on Human Factors in Computing Systems")</f>
        <v>ACM Conference on Human Factors in Computing Systems</v>
      </c>
      <c r="D44" s="176">
        <f>IFERROR(__xludf.DUMMYFUNCTION("""COMPUTED_VALUE"""),129.0)</f>
        <v>129</v>
      </c>
      <c r="E44" s="147" t="str">
        <f>IFERROR(__xludf.DUMMYFUNCTION("""COMPUTED_VALUE"""),"https://scholar.google.com.br/citations?hl=pt-BR&amp;vq=eng_humancomputerinteraction&amp;view_op=list_hcore&amp;venue=6NNnGOq9_mAJ.2024")</f>
        <v>https://scholar.google.com.br/citations?hl=pt-BR&amp;vq=eng_humancomputerinteraction&amp;view_op=list_hcore&amp;venue=6NNnGOq9_mAJ.2024</v>
      </c>
      <c r="F44" s="57"/>
      <c r="I44" s="60" t="str">
        <f>IFERROR(__xludf.DUMMYFUNCTION("""COMPUTED_VALUE"""),"https://dblp.org/db/conf/chi/index.html")</f>
        <v>https://dblp.org/db/conf/chi/index.html</v>
      </c>
    </row>
    <row r="45">
      <c r="A45" s="68" t="str">
        <f>IFERROR(__xludf.DUMMYFUNCTION("""COMPUTED_VALUE"""),"Eventos da Área")</f>
        <v>Eventos da Área</v>
      </c>
      <c r="B45" s="175" t="str">
        <f>IFERROR(__xludf.DUMMYFUNCTION("""COMPUTED_VALUE"""),"TEI")</f>
        <v>TEI</v>
      </c>
      <c r="C45" s="175" t="str">
        <f>IFERROR(__xludf.DUMMYFUNCTION("""COMPUTED_VALUE"""),"International Conference on Tangible, Embedded and Embodied Interaction")</f>
        <v>International Conference on Tangible, Embedded and Embodied Interaction</v>
      </c>
      <c r="D45" s="176">
        <f>IFERROR(__xludf.DUMMYFUNCTION("""COMPUTED_VALUE"""),27.0)</f>
        <v>27</v>
      </c>
      <c r="E45" s="147" t="str">
        <f>IFERROR(__xludf.DUMMYFUNCTION("""COMPUTED_VALUE"""),"https://scholar.google.com.br/citations?hl=pt-BR&amp;vq=eng_humancomputerinteraction&amp;view_op=list_hcore&amp;venue=KRPnqF5qBUgJ.2024")</f>
        <v>https://scholar.google.com.br/citations?hl=pt-BR&amp;vq=eng_humancomputerinteraction&amp;view_op=list_hcore&amp;venue=KRPnqF5qBUgJ.2024</v>
      </c>
      <c r="F45" s="57"/>
      <c r="I45" s="60" t="str">
        <f>IFERROR(__xludf.DUMMYFUNCTION("""COMPUTED_VALUE"""),"https://dblp.org/db/conf/chi/index.html")</f>
        <v>https://dblp.org/db/conf/chi/index.html</v>
      </c>
    </row>
    <row r="46">
      <c r="A46" s="68" t="str">
        <f>IFERROR(__xludf.DUMMYFUNCTION("""COMPUTED_VALUE"""),"Eventos da Área")</f>
        <v>Eventos da Área</v>
      </c>
      <c r="B46" s="175" t="str">
        <f>IFERROR(__xludf.DUMMYFUNCTION("""COMPUTED_VALUE"""),"3DV")</f>
        <v>3DV</v>
      </c>
      <c r="C46" s="175" t="str">
        <f>IFERROR(__xludf.DUMMYFUNCTION("""COMPUTED_VALUE"""),"International Conference on 3D Vision")</f>
        <v>International Conference on 3D Vision</v>
      </c>
      <c r="D46" s="176">
        <f>IFERROR(__xludf.DUMMYFUNCTION("""COMPUTED_VALUE"""),51.0)</f>
        <v>51</v>
      </c>
      <c r="E46" s="147" t="str">
        <f>IFERROR(__xludf.DUMMYFUNCTION("""COMPUTED_VALUE"""),"https://scholar.google.com.br/citations?hl=pt-BR&amp;view_op=list_hcore&amp;venue=_QeiDtrgUSoJ.2024")</f>
        <v>https://scholar.google.com.br/citations?hl=pt-BR&amp;view_op=list_hcore&amp;venue=_QeiDtrgUSoJ.2024</v>
      </c>
      <c r="F46" s="57"/>
      <c r="I46" s="60" t="str">
        <f>IFERROR(__xludf.DUMMYFUNCTION("""COMPUTED_VALUE"""),"https://dblp.org/db/conf/3dim/index.html")</f>
        <v>https://dblp.org/db/conf/3dim/index.html</v>
      </c>
    </row>
    <row r="47">
      <c r="A47" s="68" t="str">
        <f>IFERROR(__xludf.DUMMYFUNCTION("""COMPUTED_VALUE"""),"Eventos da Área")</f>
        <v>Eventos da Área</v>
      </c>
      <c r="B47" s="175" t="str">
        <f>IFERROR(__xludf.DUMMYFUNCTION("""COMPUTED_VALUE"""),"DIS")</f>
        <v>DIS</v>
      </c>
      <c r="C47" s="175" t="str">
        <f>IFERROR(__xludf.DUMMYFUNCTION("""COMPUTED_VALUE"""),"Conference on Designing Interactive Systems")</f>
        <v>Conference on Designing Interactive Systems</v>
      </c>
      <c r="D47" s="176">
        <f>IFERROR(__xludf.DUMMYFUNCTION("""COMPUTED_VALUE"""),49.0)</f>
        <v>49</v>
      </c>
      <c r="E47" s="147" t="str">
        <f>IFERROR(__xludf.DUMMYFUNCTION("""COMPUTED_VALUE"""),"https://scholar.google.com.br/citations?hl=pt-BR&amp;view_op=list_hcore&amp;venue=NL3siS1OXxYJ.2024")</f>
        <v>https://scholar.google.com.br/citations?hl=pt-BR&amp;view_op=list_hcore&amp;venue=NL3siS1OXxYJ.2024</v>
      </c>
      <c r="F47" s="57"/>
      <c r="I47" s="60" t="str">
        <f>IFERROR(__xludf.DUMMYFUNCTION("""COMPUTED_VALUE"""),"https://dblp.org/db/conf/ACMdis/index.html")</f>
        <v>https://dblp.org/db/conf/ACMdis/index.html</v>
      </c>
    </row>
    <row r="48">
      <c r="A48" s="68" t="str">
        <f>IFERROR(__xludf.DUMMYFUNCTION("""COMPUTED_VALUE"""),"Eventos da Área")</f>
        <v>Eventos da Área</v>
      </c>
      <c r="B48" s="175" t="str">
        <f>IFERROR(__xludf.DUMMYFUNCTION("""COMPUTED_VALUE"""),"IDC")</f>
        <v>IDC</v>
      </c>
      <c r="C48" s="175" t="str">
        <f>IFERROR(__xludf.DUMMYFUNCTION("""COMPUTED_VALUE"""),"ACM Interaction Design and Children Conference")</f>
        <v>ACM Interaction Design and Children Conference</v>
      </c>
      <c r="D48" s="176">
        <f>IFERROR(__xludf.DUMMYFUNCTION("""COMPUTED_VALUE"""),33.0)</f>
        <v>33</v>
      </c>
      <c r="E48" s="147" t="str">
        <f>IFERROR(__xludf.DUMMYFUNCTION("""COMPUTED_VALUE"""),"https://scholar.google.com.br/citations?hl=pt-BR&amp;view_op=list_hcore&amp;venue=6bHuP8hpZRIJ.2024")</f>
        <v>https://scholar.google.com.br/citations?hl=pt-BR&amp;view_op=list_hcore&amp;venue=6bHuP8hpZRIJ.2024</v>
      </c>
      <c r="F48" s="57"/>
      <c r="H48" t="str">
        <f>IFERROR(__xludf.DUMMYFUNCTION("""COMPUTED_VALUE"""),"International Conference on Interaction Design and Children (IDC)International Conference on Interaction Design and Children (ID")</f>
        <v>International Conference on Interaction Design and Children (IDC)International Conference on Interaction Design and Children (ID</v>
      </c>
      <c r="I48" s="60" t="str">
        <f>IFERROR(__xludf.DUMMYFUNCTION("""COMPUTED_VALUE"""),"https://dblp.org/db/conf/acmidc/index.html")</f>
        <v>https://dblp.org/db/conf/acmidc/index.html</v>
      </c>
    </row>
    <row r="49">
      <c r="A49" s="68" t="str">
        <f>IFERROR(__xludf.DUMMYFUNCTION("""COMPUTED_VALUE"""),"Eventos da Área")</f>
        <v>Eventos da Área</v>
      </c>
      <c r="B49" s="175" t="str">
        <f>IFERROR(__xludf.DUMMYFUNCTION("""COMPUTED_VALUE"""),"IEEE VIS")</f>
        <v>IEEE VIS</v>
      </c>
      <c r="C49" s="175" t="str">
        <f>IFERROR(__xludf.DUMMYFUNCTION("""COMPUTED_VALUE"""),"IEEE Visualization")</f>
        <v>IEEE Visualization</v>
      </c>
      <c r="D49" s="176">
        <f>IFERROR(__xludf.DUMMYFUNCTION("""COMPUTED_VALUE"""),22.0)</f>
        <v>22</v>
      </c>
      <c r="E49" s="147" t="str">
        <f>IFERROR(__xludf.DUMMYFUNCTION("""COMPUTED_VALUE"""),"https://scholar.google.com.br/citations?hl=pt-BR&amp;view_op=list_hcore&amp;venue=ISkzejISPjIJ.2024")</f>
        <v>https://scholar.google.com.br/citations?hl=pt-BR&amp;view_op=list_hcore&amp;venue=ISkzejISPjIJ.2024</v>
      </c>
      <c r="F49" s="57"/>
      <c r="I49" s="60" t="str">
        <f>IFERROR(__xludf.DUMMYFUNCTION("""COMPUTED_VALUE"""),"https://dblp.org/db/conf/visualization/index.html")</f>
        <v>https://dblp.org/db/conf/visualization/index.html</v>
      </c>
    </row>
    <row r="50">
      <c r="A50" s="68" t="str">
        <f>IFERROR(__xludf.DUMMYFUNCTION("""COMPUTED_VALUE"""),"Eventos da Área")</f>
        <v>Eventos da Área</v>
      </c>
      <c r="B50" s="175" t="str">
        <f>IFERROR(__xludf.DUMMYFUNCTION("""COMPUTED_VALUE"""),"MobileHCI")</f>
        <v>MobileHCI</v>
      </c>
      <c r="C50" s="175" t="str">
        <f>IFERROR(__xludf.DUMMYFUNCTION("""COMPUTED_VALUE"""),"International Conference on Human-­‐Computer Interaction with Mobile Devices and Services")</f>
        <v>International Conference on Human-­‐Computer Interaction with Mobile Devices and Services</v>
      </c>
      <c r="D50" s="176">
        <f>IFERROR(__xludf.DUMMYFUNCTION("""COMPUTED_VALUE"""),22.0)</f>
        <v>22</v>
      </c>
      <c r="E50" s="147" t="str">
        <f>IFERROR(__xludf.DUMMYFUNCTION("""COMPUTED_VALUE"""),"https://scholar.google.com.br/citations?hl=pt-BR&amp;view_op=list_hcore&amp;venue=FYz8XSTnq6sJ.2024")</f>
        <v>https://scholar.google.com.br/citations?hl=pt-BR&amp;view_op=list_hcore&amp;venue=FYz8XSTnq6sJ.2024</v>
      </c>
      <c r="F50" s="57"/>
      <c r="I50" s="60" t="str">
        <f>IFERROR(__xludf.DUMMYFUNCTION("""COMPUTED_VALUE"""),"https://dblp.org/db/conf/mhci/index.html")</f>
        <v>https://dblp.org/db/conf/mhci/index.html</v>
      </c>
    </row>
    <row r="51">
      <c r="A51" s="68" t="str">
        <f>IFERROR(__xludf.DUMMYFUNCTION("""COMPUTED_VALUE"""),"Eventos da Área")</f>
        <v>Eventos da Área</v>
      </c>
      <c r="B51" s="175" t="str">
        <f>IFERROR(__xludf.DUMMYFUNCTION("""COMPUTED_VALUE"""),"ICCVW")</f>
        <v>ICCVW</v>
      </c>
      <c r="C51" s="175" t="str">
        <f>IFERROR(__xludf.DUMMYFUNCTION("""COMPUTED_VALUE"""),"IEEE International Conference on Computer Vision Workshops")</f>
        <v>IEEE International Conference on Computer Vision Workshops</v>
      </c>
      <c r="D51" s="176">
        <f>IFERROR(__xludf.DUMMYFUNCTION("""COMPUTED_VALUE"""),80.0)</f>
        <v>80</v>
      </c>
      <c r="E51" s="147" t="str">
        <f>IFERROR(__xludf.DUMMYFUNCTION("""COMPUTED_VALUE"""),"https://scholar.google.com.br/citations?hl=pt-BR&amp;view_op=list_hcore&amp;venue=1h7Rot6-J5EJ.2024")</f>
        <v>https://scholar.google.com.br/citations?hl=pt-BR&amp;view_op=list_hcore&amp;venue=1h7Rot6-J5EJ.2024</v>
      </c>
      <c r="F51" s="57"/>
      <c r="I51" s="60" t="str">
        <f>IFERROR(__xludf.DUMMYFUNCTION("""COMPUTED_VALUE"""),"https://dblp.org/db/conf/iccv/index.html")</f>
        <v>https://dblp.org/db/conf/iccv/index.html</v>
      </c>
    </row>
    <row r="52">
      <c r="A52" s="68" t="str">
        <f>IFERROR(__xludf.DUMMYFUNCTION("""COMPUTED_VALUE"""),"Eventos da Área")</f>
        <v>Eventos da Área</v>
      </c>
      <c r="B52" s="175" t="str">
        <f>IFERROR(__xludf.DUMMYFUNCTION("""COMPUTED_VALUE"""),"SCA")</f>
        <v>SCA</v>
      </c>
      <c r="C52" s="175" t="str">
        <f>IFERROR(__xludf.DUMMYFUNCTION("""COMPUTED_VALUE"""),"ACM SIGGRAPH / Eurographics Symposium on Computer Animation")</f>
        <v>ACM SIGGRAPH / Eurographics Symposium on Computer Animation</v>
      </c>
      <c r="D52" s="176">
        <f>IFERROR(__xludf.DUMMYFUNCTION("""COMPUTED_VALUE"""),2.0)</f>
        <v>2</v>
      </c>
      <c r="E52" s="147" t="str">
        <f>IFERROR(__xludf.DUMMYFUNCTION("""COMPUTED_VALUE"""),"Calculado com h-index calculator 2020-2024")</f>
        <v>Calculado com h-index calculator 2020-2024</v>
      </c>
      <c r="F52" s="57"/>
      <c r="I52" s="60" t="str">
        <f>IFERROR(__xludf.DUMMYFUNCTION("""COMPUTED_VALUE"""),"https://dblp.org/db/conf/sca/index.html")</f>
        <v>https://dblp.org/db/conf/sca/index.html</v>
      </c>
    </row>
    <row r="53">
      <c r="A53" s="68" t="str">
        <f>IFERROR(__xludf.DUMMYFUNCTION("""COMPUTED_VALUE"""),"Eventos da Área")</f>
        <v>Eventos da Área</v>
      </c>
      <c r="B53" s="175" t="str">
        <f>IFERROR(__xludf.DUMMYFUNCTION("""COMPUTED_VALUE"""),"SMC")</f>
        <v>SMC</v>
      </c>
      <c r="C53" s="175" t="str">
        <f>IFERROR(__xludf.DUMMYFUNCTION("""COMPUTED_VALUE"""),"IEEE International Conference on Systems Man and Cybernetics")</f>
        <v>IEEE International Conference on Systems Man and Cybernetics</v>
      </c>
      <c r="D53" s="176">
        <f>IFERROR(__xludf.DUMMYFUNCTION("""COMPUTED_VALUE"""),35.0)</f>
        <v>35</v>
      </c>
      <c r="E53" s="147" t="str">
        <f>IFERROR(__xludf.DUMMYFUNCTION("""COMPUTED_VALUE"""),"https://scholar.google.com.br/citations?hl=pt-BR&amp;view_op=list_hcore&amp;venue=qJlcVei6YeoJ.2024")</f>
        <v>https://scholar.google.com.br/citations?hl=pt-BR&amp;view_op=list_hcore&amp;venue=qJlcVei6YeoJ.2024</v>
      </c>
      <c r="F53" s="57"/>
      <c r="I53" s="60" t="str">
        <f>IFERROR(__xludf.DUMMYFUNCTION("""COMPUTED_VALUE"""),"https://dblp.org/db/conf/smc/index.html")</f>
        <v>https://dblp.org/db/conf/smc/index.html</v>
      </c>
    </row>
    <row r="54">
      <c r="A54" s="68" t="str">
        <f>IFERROR(__xludf.DUMMYFUNCTION("""COMPUTED_VALUE"""),"Eventos da Área")</f>
        <v>Eventos da Área</v>
      </c>
      <c r="B54" s="175" t="str">
        <f>IFERROR(__xludf.DUMMYFUNCTION("""COMPUTED_VALUE"""),"ICCV")</f>
        <v>ICCV</v>
      </c>
      <c r="C54" s="175" t="str">
        <f>IFERROR(__xludf.DUMMYFUNCTION("""COMPUTED_VALUE"""),"IEEE International Conference on Computer Vision")</f>
        <v>IEEE International Conference on Computer Vision</v>
      </c>
      <c r="D54" s="176">
        <f>IFERROR(__xludf.DUMMYFUNCTION("""COMPUTED_VALUE"""),291.0)</f>
        <v>291</v>
      </c>
      <c r="E54" s="147" t="str">
        <f>IFERROR(__xludf.DUMMYFUNCTION("""COMPUTED_VALUE"""),"https://scholar.google.com.br/citations?hl=pt-BR&amp;view_op=list_hcore&amp;venue=Umlb1kMURG4J.2024")</f>
        <v>https://scholar.google.com.br/citations?hl=pt-BR&amp;view_op=list_hcore&amp;venue=Umlb1kMURG4J.2024</v>
      </c>
      <c r="F54" s="57"/>
      <c r="I54" s="60" t="str">
        <f>IFERROR(__xludf.DUMMYFUNCTION("""COMPUTED_VALUE"""),"https://dblp.org/db/conf/iccv/index.html")</f>
        <v>https://dblp.org/db/conf/iccv/index.html</v>
      </c>
    </row>
    <row r="55">
      <c r="A55" s="68" t="str">
        <f>IFERROR(__xludf.DUMMYFUNCTION("""COMPUTED_VALUE"""),"Eventos da Área")</f>
        <v>Eventos da Área</v>
      </c>
      <c r="B55" s="175" t="str">
        <f>IFERROR(__xludf.DUMMYFUNCTION("""COMPUTED_VALUE"""),"ICASSP")</f>
        <v>ICASSP</v>
      </c>
      <c r="C55" s="175" t="str">
        <f>IFERROR(__xludf.DUMMYFUNCTION("""COMPUTED_VALUE"""),"International Conference on Acoustics, Speech, and Signal Processing")</f>
        <v>International Conference on Acoustics, Speech, and Signal Processing</v>
      </c>
      <c r="D55" s="176">
        <f>IFERROR(__xludf.DUMMYFUNCTION("""COMPUTED_VALUE"""),129.0)</f>
        <v>129</v>
      </c>
      <c r="E55" s="147" t="str">
        <f>IFERROR(__xludf.DUMMYFUNCTION("""COMPUTED_VALUE"""),"https://scholar.google.com.br/citations?hl=pt-BR&amp;view_op=list_hcore&amp;venue=HHC6AUo36fEJ.2024")</f>
        <v>https://scholar.google.com.br/citations?hl=pt-BR&amp;view_op=list_hcore&amp;venue=HHC6AUo36fEJ.2024</v>
      </c>
      <c r="F55" s="57"/>
      <c r="I55" s="60" t="str">
        <f>IFERROR(__xludf.DUMMYFUNCTION("""COMPUTED_VALUE"""),"https://dblp.org/db/conf/icassp/index.html")</f>
        <v>https://dblp.org/db/conf/icassp/index.html</v>
      </c>
    </row>
    <row r="56">
      <c r="A56" s="68" t="str">
        <f>IFERROR(__xludf.DUMMYFUNCTION("""COMPUTED_VALUE"""),"Eventos da Área")</f>
        <v>Eventos da Área</v>
      </c>
      <c r="B56" s="175" t="str">
        <f>IFERROR(__xludf.DUMMYFUNCTION("""COMPUTED_VALUE"""),"ICRA")</f>
        <v>ICRA</v>
      </c>
      <c r="C56" s="175" t="str">
        <f>IFERROR(__xludf.DUMMYFUNCTION("""COMPUTED_VALUE"""),"IEEE International Conference on Robotics and Automation")</f>
        <v>IEEE International Conference on Robotics and Automation</v>
      </c>
      <c r="D56" s="176">
        <f>IFERROR(__xludf.DUMMYFUNCTION("""COMPUTED_VALUE"""),122.0)</f>
        <v>122</v>
      </c>
      <c r="E56" s="147" t="str">
        <f>IFERROR(__xludf.DUMMYFUNCTION("""COMPUTED_VALUE"""),"https://scholar.google.com.br/citations?hl=pt-BR&amp;view_op=list_hcore&amp;venue=5FWz4DClk1YJ.2024")</f>
        <v>https://scholar.google.com.br/citations?hl=pt-BR&amp;view_op=list_hcore&amp;venue=5FWz4DClk1YJ.2024</v>
      </c>
      <c r="F56" s="57"/>
      <c r="I56" s="60" t="str">
        <f>IFERROR(__xludf.DUMMYFUNCTION("""COMPUTED_VALUE"""),"https://dblp.org/db/conf/icra/index.html")</f>
        <v>https://dblp.org/db/conf/icra/index.html</v>
      </c>
    </row>
    <row r="57">
      <c r="A57" s="68" t="str">
        <f>IFERROR(__xludf.DUMMYFUNCTION("""COMPUTED_VALUE"""),"Eventos da Área")</f>
        <v>Eventos da Área</v>
      </c>
      <c r="B57" s="175" t="str">
        <f>IFERROR(__xludf.DUMMYFUNCTION("""COMPUTED_VALUE"""),"UbiComp")</f>
        <v>UbiComp</v>
      </c>
      <c r="C57" s="175" t="str">
        <f>IFERROR(__xludf.DUMMYFUNCTION("""COMPUTED_VALUE"""),"ACM Conference on Pervasive and Ubiquitous Computing")</f>
        <v>ACM Conference on Pervasive and Ubiquitous Computing</v>
      </c>
      <c r="D57" s="176">
        <f>IFERROR(__xludf.DUMMYFUNCTION("""COMPUTED_VALUE"""),27.0)</f>
        <v>27</v>
      </c>
      <c r="E57" s="147" t="str">
        <f>IFERROR(__xludf.DUMMYFUNCTION("""COMPUTED_VALUE"""),"https://scholar.google.com.br/citations?hl=pt-BR&amp;view_op=list_hcore&amp;venue=K6EHRjh8bWIJ.2024")</f>
        <v>https://scholar.google.com.br/citations?hl=pt-BR&amp;view_op=list_hcore&amp;venue=K6EHRjh8bWIJ.2024</v>
      </c>
      <c r="F57" s="57"/>
      <c r="I57" s="60" t="str">
        <f>IFERROR(__xludf.DUMMYFUNCTION("""COMPUTED_VALUE"""),"https://dblp.org/db/conf/huc/index.html")</f>
        <v>https://dblp.org/db/conf/huc/index.html</v>
      </c>
    </row>
    <row r="58">
      <c r="A58" s="68" t="str">
        <f>IFERROR(__xludf.DUMMYFUNCTION("""COMPUTED_VALUE"""),"Eventos da Área")</f>
        <v>Eventos da Área</v>
      </c>
      <c r="B58" s="175" t="str">
        <f>IFERROR(__xludf.DUMMYFUNCTION("""COMPUTED_VALUE"""),"ACM-MM")</f>
        <v>ACM-MM</v>
      </c>
      <c r="C58" s="175" t="str">
        <f>IFERROR(__xludf.DUMMYFUNCTION("""COMPUTED_VALUE"""),"ACM International Conference on Multimedia")</f>
        <v>ACM International Conference on Multimedia</v>
      </c>
      <c r="D58" s="176">
        <f>IFERROR(__xludf.DUMMYFUNCTION("""COMPUTED_VALUE"""),101.0)</f>
        <v>101</v>
      </c>
      <c r="E58" s="147" t="str">
        <f>IFERROR(__xludf.DUMMYFUNCTION("""COMPUTED_VALUE"""),"https://scholar.google.com.br/citations?hl=pt-BR&amp;view_op=list_hcore&amp;venue=vKMrxyJUpv0J.2024")</f>
        <v>https://scholar.google.com.br/citations?hl=pt-BR&amp;view_op=list_hcore&amp;venue=vKMrxyJUpv0J.2024</v>
      </c>
      <c r="F58" s="57"/>
      <c r="I58" s="60" t="str">
        <f>IFERROR(__xludf.DUMMYFUNCTION("""COMPUTED_VALUE"""),"https://dblp.org/db/conf/mm/index.html")</f>
        <v>https://dblp.org/db/conf/mm/index.html</v>
      </c>
    </row>
    <row r="59">
      <c r="A59" s="68" t="str">
        <f>IFERROR(__xludf.DUMMYFUNCTION("""COMPUTED_VALUE"""),"Eventos da Área")</f>
        <v>Eventos da Área</v>
      </c>
      <c r="B59" s="175" t="str">
        <f>IFERROR(__xludf.DUMMYFUNCTION("""COMPUTED_VALUE"""),"MICCAI")</f>
        <v>MICCAI</v>
      </c>
      <c r="C59" s="175" t="str">
        <f>IFERROR(__xludf.DUMMYFUNCTION("""COMPUTED_VALUE"""),"International Conference on Medical Image Computing and Computer Assisted Intervention")</f>
        <v>International Conference on Medical Image Computing and Computer Assisted Intervention</v>
      </c>
      <c r="D59" s="176">
        <f>IFERROR(__xludf.DUMMYFUNCTION("""COMPUTED_VALUE"""),96.0)</f>
        <v>96</v>
      </c>
      <c r="E59" s="147" t="str">
        <f>IFERROR(__xludf.DUMMYFUNCTION("""COMPUTED_VALUE"""),"https://scholar.google.com.br/citations?hl=pt-BR&amp;view_op=list_hcore&amp;venue=QLpioUFGyGMJ.2024")</f>
        <v>https://scholar.google.com.br/citations?hl=pt-BR&amp;view_op=list_hcore&amp;venue=QLpioUFGyGMJ.2024</v>
      </c>
      <c r="F59" s="57"/>
      <c r="I59" s="60" t="str">
        <f>IFERROR(__xludf.DUMMYFUNCTION("""COMPUTED_VALUE"""),"https://dblp.org/db/conf/miccai/index.html")</f>
        <v>https://dblp.org/db/conf/miccai/index.html</v>
      </c>
    </row>
    <row r="60">
      <c r="A60" s="68" t="str">
        <f>IFERROR(__xludf.DUMMYFUNCTION("""COMPUTED_VALUE"""),"Eventos da Área")</f>
        <v>Eventos da Área</v>
      </c>
      <c r="B60" s="175" t="str">
        <f>IFERROR(__xludf.DUMMYFUNCTION("""COMPUTED_VALUE"""),"ECCV")</f>
        <v>ECCV</v>
      </c>
      <c r="C60" s="175" t="str">
        <f>IFERROR(__xludf.DUMMYFUNCTION("""COMPUTED_VALUE"""),"European Conference on Computer Vision")</f>
        <v>European Conference on Computer Vision</v>
      </c>
      <c r="D60" s="176">
        <f>IFERROR(__xludf.DUMMYFUNCTION("""COMPUTED_VALUE"""),206.0)</f>
        <v>206</v>
      </c>
      <c r="E60" s="147" t="str">
        <f>IFERROR(__xludf.DUMMYFUNCTION("""COMPUTED_VALUE"""),"https://scholar.google.com.br/citations?hl=pt-BR&amp;view_op=list_hcore&amp;venue=cwIh2C-xo8kJ.2024")</f>
        <v>https://scholar.google.com.br/citations?hl=pt-BR&amp;view_op=list_hcore&amp;venue=cwIh2C-xo8kJ.2024</v>
      </c>
      <c r="F60" s="57"/>
      <c r="I60" s="60" t="str">
        <f>IFERROR(__xludf.DUMMYFUNCTION("""COMPUTED_VALUE"""),"https://dblp.org/db/conf/eccv/index.html")</f>
        <v>https://dblp.org/db/conf/eccv/index.html</v>
      </c>
    </row>
    <row r="61">
      <c r="A61" s="68" t="str">
        <f>IFERROR(__xludf.DUMMYFUNCTION("""COMPUTED_VALUE"""),"Eventos da Área")</f>
        <v>Eventos da Área</v>
      </c>
      <c r="B61" s="175" t="str">
        <f>IFERROR(__xludf.DUMMYFUNCTION("""COMPUTED_VALUE"""),"IROS")</f>
        <v>IROS</v>
      </c>
      <c r="C61" s="175" t="str">
        <f>IFERROR(__xludf.DUMMYFUNCTION("""COMPUTED_VALUE"""),"IEEE/RJS International Conference on Intelligent Robots and Systems")</f>
        <v>IEEE/RJS International Conference on Intelligent Robots and Systems</v>
      </c>
      <c r="D61" s="176">
        <f>IFERROR(__xludf.DUMMYFUNCTION("""COMPUTED_VALUE"""),86.0)</f>
        <v>86</v>
      </c>
      <c r="E61" s="147" t="str">
        <f>IFERROR(__xludf.DUMMYFUNCTION("""COMPUTED_VALUE"""),"https://scholar.google.com.br/citations?hl=pt-BR&amp;view_op=list_hcore&amp;venue=QZ31s4XlF8EJ.2024")</f>
        <v>https://scholar.google.com.br/citations?hl=pt-BR&amp;view_op=list_hcore&amp;venue=QZ31s4XlF8EJ.2024</v>
      </c>
      <c r="F61" s="57"/>
      <c r="I61" s="60" t="str">
        <f>IFERROR(__xludf.DUMMYFUNCTION("""COMPUTED_VALUE"""),"https://dblp.org/db/conf/iros/index.html")</f>
        <v>https://dblp.org/db/conf/iros/index.html</v>
      </c>
    </row>
    <row r="62">
      <c r="A62" s="68" t="str">
        <f>IFERROR(__xludf.DUMMYFUNCTION("""COMPUTED_VALUE"""),"Eventos da Área")</f>
        <v>Eventos da Área</v>
      </c>
      <c r="B62" s="175" t="str">
        <f>IFERROR(__xludf.DUMMYFUNCTION("""COMPUTED_VALUE"""),"Assets")</f>
        <v>Assets</v>
      </c>
      <c r="C62" s="175" t="str">
        <f>IFERROR(__xludf.DUMMYFUNCTION("""COMPUTED_VALUE"""),"International ACM Conference on Assistive Technologies (Assets)")</f>
        <v>International ACM Conference on Assistive Technologies (Assets)</v>
      </c>
      <c r="D62" s="176">
        <f>IFERROR(__xludf.DUMMYFUNCTION("""COMPUTED_VALUE"""),32.0)</f>
        <v>32</v>
      </c>
      <c r="E62" s="147" t="str">
        <f>IFERROR(__xludf.DUMMYFUNCTION("""COMPUTED_VALUE"""),"https://scholar.google.com.br/citations?hl=pt-BR&amp;view_op=list_hcore&amp;venue=c5bgEi18VesJ.2024")</f>
        <v>https://scholar.google.com.br/citations?hl=pt-BR&amp;view_op=list_hcore&amp;venue=c5bgEi18VesJ.2024</v>
      </c>
      <c r="F62" s="57"/>
      <c r="H62" t="str">
        <f>IFERROR(__xludf.DUMMYFUNCTION("""COMPUTED_VALUE"""),"International ACM SIGACCESS Conference on Computers and Accessibility (ASSETS)")</f>
        <v>International ACM SIGACCESS Conference on Computers and Accessibility (ASSETS)</v>
      </c>
      <c r="I62" s="60" t="str">
        <f>IFERROR(__xludf.DUMMYFUNCTION("""COMPUTED_VALUE"""),"https://dblp.org/db/conf/assets/index.html")</f>
        <v>https://dblp.org/db/conf/assets/index.html</v>
      </c>
    </row>
    <row r="63">
      <c r="A63" s="68" t="str">
        <f>IFERROR(__xludf.DUMMYFUNCTION("""COMPUTED_VALUE"""),"Eventos da Área")</f>
        <v>Eventos da Área</v>
      </c>
      <c r="B63" s="175" t="str">
        <f>IFERROR(__xludf.DUMMYFUNCTION("""COMPUTED_VALUE"""),"UMAP")</f>
        <v>UMAP</v>
      </c>
      <c r="C63" s="175" t="str">
        <f>IFERROR(__xludf.DUMMYFUNCTION("""COMPUTED_VALUE"""),"International Conference on User Modeling, Adaptation and Personalization (UMAP)")</f>
        <v>International Conference on User Modeling, Adaptation and Personalization (UMAP)</v>
      </c>
      <c r="D63" s="176">
        <f>IFERROR(__xludf.DUMMYFUNCTION("""COMPUTED_VALUE"""),31.0)</f>
        <v>31</v>
      </c>
      <c r="E63" s="147" t="str">
        <f>IFERROR(__xludf.DUMMYFUNCTION("""COMPUTED_VALUE"""),"https://scholar.google.com.br/citations?hl=pt-BR&amp;view_op=list_hcore&amp;venue=jtXTIwcBWV8J.2024")</f>
        <v>https://scholar.google.com.br/citations?hl=pt-BR&amp;view_op=list_hcore&amp;venue=jtXTIwcBWV8J.2024</v>
      </c>
      <c r="F63" s="57"/>
      <c r="I63" s="60" t="str">
        <f>IFERROR(__xludf.DUMMYFUNCTION("""COMPUTED_VALUE"""),"https://dblp.org/db/conf/ah/index.html")</f>
        <v>https://dblp.org/db/conf/ah/index.html</v>
      </c>
    </row>
    <row r="64">
      <c r="A64" s="68" t="str">
        <f>IFERROR(__xludf.DUMMYFUNCTION("""COMPUTED_VALUE"""),"Eventos da Área")</f>
        <v>Eventos da Área</v>
      </c>
      <c r="B64" s="175" t="str">
        <f>IFERROR(__xludf.DUMMYFUNCTION("""COMPUTED_VALUE"""),"ICER")</f>
        <v>ICER</v>
      </c>
      <c r="C64" s="175" t="str">
        <f>IFERROR(__xludf.DUMMYFUNCTION("""COMPUTED_VALUE"""),"International Computing Education Research (ICER)")</f>
        <v>International Computing Education Research (ICER)</v>
      </c>
      <c r="D64" s="176">
        <f>IFERROR(__xludf.DUMMYFUNCTION("""COMPUTED_VALUE"""),32.0)</f>
        <v>32</v>
      </c>
      <c r="E64" s="147" t="str">
        <f>IFERROR(__xludf.DUMMYFUNCTION("""COMPUTED_VALUE"""),"https://scholar.google.com.br/citations?hl=pt-BR&amp;view_op=list_hcore&amp;venue=v0xCU4OEvKUJ.2024")</f>
        <v>https://scholar.google.com.br/citations?hl=pt-BR&amp;view_op=list_hcore&amp;venue=v0xCU4OEvKUJ.2024</v>
      </c>
      <c r="F64" s="57"/>
      <c r="I64" s="60" t="str">
        <f>IFERROR(__xludf.DUMMYFUNCTION("""COMPUTED_VALUE"""),"https://dblp.org/db/conf/icer/index.html")</f>
        <v>https://dblp.org/db/conf/icer/index.html</v>
      </c>
    </row>
    <row r="65">
      <c r="A65" s="68" t="str">
        <f>IFERROR(__xludf.DUMMYFUNCTION("""COMPUTED_VALUE"""),"Eventos da Área")</f>
        <v>Eventos da Área</v>
      </c>
      <c r="B65" s="175" t="str">
        <f>IFERROR(__xludf.DUMMYFUNCTION("""COMPUTED_VALUE"""),"ICMEW")</f>
        <v>ICMEW</v>
      </c>
      <c r="C65" s="175" t="str">
        <f>IFERROR(__xludf.DUMMYFUNCTION("""COMPUTED_VALUE"""),"IEEE International Conference on Multimedia and Expo Workshops")</f>
        <v>IEEE International Conference on Multimedia and Expo Workshops</v>
      </c>
      <c r="D65" s="176">
        <f>IFERROR(__xludf.DUMMYFUNCTION("""COMPUTED_VALUE"""),26.0)</f>
        <v>26</v>
      </c>
      <c r="E65" s="147" t="str">
        <f>IFERROR(__xludf.DUMMYFUNCTION("""COMPUTED_VALUE"""),"https://scholar.google.com.br/citations?hl=pt-BR&amp;view_op=list_hcore&amp;venue=Nb-CRah8-lcJ.2024")</f>
        <v>https://scholar.google.com.br/citations?hl=pt-BR&amp;view_op=list_hcore&amp;venue=Nb-CRah8-lcJ.2024</v>
      </c>
      <c r="F65" s="57"/>
      <c r="I65" s="60" t="str">
        <f>IFERROR(__xludf.DUMMYFUNCTION("""COMPUTED_VALUE"""),"https://dblp.org/db/conf/icmcs/index.html")</f>
        <v>https://dblp.org/db/conf/icmcs/index.html</v>
      </c>
    </row>
    <row r="66">
      <c r="A66" s="68" t="str">
        <f>IFERROR(__xludf.DUMMYFUNCTION("""COMPUTED_VALUE"""),"Eventos da Área")</f>
        <v>Eventos da Área</v>
      </c>
      <c r="B66" s="175" t="str">
        <f>IFERROR(__xludf.DUMMYFUNCTION("""COMPUTED_VALUE"""),"INTERACT")</f>
        <v>INTERACT</v>
      </c>
      <c r="C66" s="175" t="str">
        <f>IFERROR(__xludf.DUMMYFUNCTION("""COMPUTED_VALUE"""),"IFIP Conference on Human-Computer Interaction")</f>
        <v>IFIP Conference on Human-Computer Interaction</v>
      </c>
      <c r="D66" s="176">
        <f>IFERROR(__xludf.DUMMYFUNCTION("""COMPUTED_VALUE"""),23.0)</f>
        <v>23</v>
      </c>
      <c r="E66" s="147" t="str">
        <f>IFERROR(__xludf.DUMMYFUNCTION("""COMPUTED_VALUE"""),"https://scholar.google.com.br/citations?hl=pt-BR&amp;view_op=list_hcore&amp;venue=6hYO_ZiWs1YJ.2024")</f>
        <v>https://scholar.google.com.br/citations?hl=pt-BR&amp;view_op=list_hcore&amp;venue=6hYO_ZiWs1YJ.2024</v>
      </c>
      <c r="F66" s="57"/>
      <c r="H66" t="str">
        <f>IFERROR(__xludf.DUMMYFUNCTION("""COMPUTED_VALUE"""),"IFIP TC13 International Conference on Human-Computer Interaction (INTERACT)")</f>
        <v>IFIP TC13 International Conference on Human-Computer Interaction (INTERACT)</v>
      </c>
      <c r="I66" s="60" t="str">
        <f>IFERROR(__xludf.DUMMYFUNCTION("""COMPUTED_VALUE"""),"https://dblp.org/db/conf/interact/index.html")</f>
        <v>https://dblp.org/db/conf/interact/index.html</v>
      </c>
    </row>
    <row r="67">
      <c r="A67" s="68" t="str">
        <f>IFERROR(__xludf.DUMMYFUNCTION("""COMPUTED_VALUE"""),"Eventos da Área")</f>
        <v>Eventos da Área</v>
      </c>
      <c r="B67" s="175" t="str">
        <f>IFERROR(__xludf.DUMMYFUNCTION("""COMPUTED_VALUE"""),"PacificVis")</f>
        <v>PacificVis</v>
      </c>
      <c r="C67" s="175" t="str">
        <f>IFERROR(__xludf.DUMMYFUNCTION("""COMPUTED_VALUE"""),"IEEE Pacific Visualization Symposium")</f>
        <v>IEEE Pacific Visualization Symposium</v>
      </c>
      <c r="D67" s="176">
        <f>IFERROR(__xludf.DUMMYFUNCTION("""COMPUTED_VALUE"""),19.0)</f>
        <v>19</v>
      </c>
      <c r="E67" s="147" t="str">
        <f>IFERROR(__xludf.DUMMYFUNCTION("""COMPUTED_VALUE"""),"https://scholar.google.com.br/citations?hl=pt-BR&amp;view_op=list_hcore&amp;venue=eyKsRVMpGxgJ.2024")</f>
        <v>https://scholar.google.com.br/citations?hl=pt-BR&amp;view_op=list_hcore&amp;venue=eyKsRVMpGxgJ.2024</v>
      </c>
      <c r="F67" s="57"/>
      <c r="I67" s="60" t="str">
        <f>IFERROR(__xludf.DUMMYFUNCTION("""COMPUTED_VALUE"""),"https://dblp.org/db/conf/pacificvis/index.html")</f>
        <v>https://dblp.org/db/conf/pacificvis/index.html</v>
      </c>
    </row>
    <row r="68">
      <c r="A68" s="68" t="str">
        <f>IFERROR(__xludf.DUMMYFUNCTION("""COMPUTED_VALUE"""),"Eventos da Área")</f>
        <v>Eventos da Área</v>
      </c>
      <c r="B68" s="175" t="str">
        <f>IFERROR(__xludf.DUMMYFUNCTION("""COMPUTED_VALUE"""),"IGARSS")</f>
        <v>IGARSS</v>
      </c>
      <c r="C68" s="175" t="str">
        <f>IFERROR(__xludf.DUMMYFUNCTION("""COMPUTED_VALUE"""),"IGARSS - IEEE International Geoscience and Remote Sensing Symposium")</f>
        <v>IGARSS - IEEE International Geoscience and Remote Sensing Symposium</v>
      </c>
      <c r="D68" s="176">
        <f>IFERROR(__xludf.DUMMYFUNCTION("""COMPUTED_VALUE"""),40.0)</f>
        <v>40</v>
      </c>
      <c r="E68" s="147" t="str">
        <f>IFERROR(__xludf.DUMMYFUNCTION("""COMPUTED_VALUE"""),"https://scholar.google.com.br/citations?hl=pt-BR&amp;view_op=list_hcore&amp;venue=D2xvUFgEEJEJ.2024")</f>
        <v>https://scholar.google.com.br/citations?hl=pt-BR&amp;view_op=list_hcore&amp;venue=D2xvUFgEEJEJ.2024</v>
      </c>
      <c r="F68" s="57"/>
      <c r="I68" s="60" t="str">
        <f>IFERROR(__xludf.DUMMYFUNCTION("""COMPUTED_VALUE"""),"https://dblp.org/db/conf/igarss/index.html")</f>
        <v>https://dblp.org/db/conf/igarss/index.html</v>
      </c>
    </row>
    <row r="69">
      <c r="A69" s="68" t="str">
        <f>IFERROR(__xludf.DUMMYFUNCTION("""COMPUTED_VALUE"""),"Eventos da Área")</f>
        <v>Eventos da Área</v>
      </c>
      <c r="B69" s="175" t="str">
        <f>IFERROR(__xludf.DUMMYFUNCTION("""COMPUTED_VALUE"""),"ISWC")</f>
        <v>ISWC</v>
      </c>
      <c r="C69" s="175" t="str">
        <f>IFERROR(__xludf.DUMMYFUNCTION("""COMPUTED_VALUE"""),"IEEE International Symposium on Wearable Computers")</f>
        <v>IEEE International Symposium on Wearable Computers</v>
      </c>
      <c r="D69" s="176">
        <f>IFERROR(__xludf.DUMMYFUNCTION("""COMPUTED_VALUE"""),22.0)</f>
        <v>22</v>
      </c>
      <c r="E69" s="147" t="str">
        <f>IFERROR(__xludf.DUMMYFUNCTION("""COMPUTED_VALUE"""),"https://scholar.google.com.br/citations?hl=pt-BR&amp;view_op=list_hcore&amp;venue=_spLz2dfW1AJ.2024")</f>
        <v>https://scholar.google.com.br/citations?hl=pt-BR&amp;view_op=list_hcore&amp;venue=_spLz2dfW1AJ.2024</v>
      </c>
      <c r="F69" s="57"/>
      <c r="I69" s="60" t="str">
        <f>IFERROR(__xludf.DUMMYFUNCTION("""COMPUTED_VALUE"""),"https://dblp.org/db/conf/iswc/index.html")</f>
        <v>https://dblp.org/db/conf/iswc/index.html</v>
      </c>
    </row>
    <row r="70">
      <c r="A70" s="68" t="str">
        <f>IFERROR(__xludf.DUMMYFUNCTION("""COMPUTED_VALUE"""),"Eventos da Área")</f>
        <v>Eventos da Área</v>
      </c>
      <c r="B70" s="175" t="str">
        <f>IFERROR(__xludf.DUMMYFUNCTION("""COMPUTED_VALUE"""),"MMM")</f>
        <v>MMM</v>
      </c>
      <c r="C70" s="175" t="str">
        <f>IFERROR(__xludf.DUMMYFUNCTION("""COMPUTED_VALUE"""),"International Conference on MultiMedia Modeling")</f>
        <v>International Conference on MultiMedia Modeling</v>
      </c>
      <c r="D70" s="176">
        <f>IFERROR(__xludf.DUMMYFUNCTION("""COMPUTED_VALUE"""),26.0)</f>
        <v>26</v>
      </c>
      <c r="E70" s="147" t="str">
        <f>IFERROR(__xludf.DUMMYFUNCTION("""COMPUTED_VALUE"""),"https://scholar.google.com.br/citations?hl=pt-BR&amp;view_op=list_hcore&amp;venue=Yk_rZmw8Ul4J.2024")</f>
        <v>https://scholar.google.com.br/citations?hl=pt-BR&amp;view_op=list_hcore&amp;venue=Yk_rZmw8Ul4J.2024</v>
      </c>
      <c r="F70" s="57"/>
      <c r="I70" s="60" t="str">
        <f>IFERROR(__xludf.DUMMYFUNCTION("""COMPUTED_VALUE"""),"https://dblp.org/db/conf/mmm/index.html")</f>
        <v>https://dblp.org/db/conf/mmm/index.html</v>
      </c>
    </row>
    <row r="71">
      <c r="A71" s="68" t="str">
        <f>IFERROR(__xludf.DUMMYFUNCTION("""COMPUTED_VALUE"""),"Eventos da Área")</f>
        <v>Eventos da Área</v>
      </c>
      <c r="B71" s="175" t="str">
        <f>IFERROR(__xludf.DUMMYFUNCTION("""COMPUTED_VALUE"""),"QoMEX")</f>
        <v>QoMEX</v>
      </c>
      <c r="C71" s="175" t="str">
        <f>IFERROR(__xludf.DUMMYFUNCTION("""COMPUTED_VALUE"""),"International Workshop on Quality of Multimedia Experience")</f>
        <v>International Workshop on Quality of Multimedia Experience</v>
      </c>
      <c r="D71" s="176">
        <f>IFERROR(__xludf.DUMMYFUNCTION("""COMPUTED_VALUE"""),24.0)</f>
        <v>24</v>
      </c>
      <c r="E71" s="147" t="str">
        <f>IFERROR(__xludf.DUMMYFUNCTION("""COMPUTED_VALUE"""),"https://scholar.google.com.br/citations?hl=pt-BR&amp;view_op=list_hcore&amp;venue=bEDbANOodwgJ.2024")</f>
        <v>https://scholar.google.com.br/citations?hl=pt-BR&amp;view_op=list_hcore&amp;venue=bEDbANOodwgJ.2024</v>
      </c>
      <c r="F71" s="57"/>
      <c r="H71" t="str">
        <f>IFERROR(__xludf.DUMMYFUNCTION("""COMPUTED_VALUE"""),"International Conference on Quality of Multimedia Experience (QoMEX)")</f>
        <v>International Conference on Quality of Multimedia Experience (QoMEX)</v>
      </c>
      <c r="I71" s="60" t="str">
        <f>IFERROR(__xludf.DUMMYFUNCTION("""COMPUTED_VALUE"""),"https://dblp.org/db/conf/qomex/index.html")</f>
        <v>https://dblp.org/db/conf/qomex/index.html</v>
      </c>
    </row>
    <row r="72">
      <c r="A72" s="68" t="str">
        <f>IFERROR(__xludf.DUMMYFUNCTION("""COMPUTED_VALUE"""),"Eventos da Área")</f>
        <v>Eventos da Área</v>
      </c>
      <c r="B72" s="175" t="str">
        <f>IFERROR(__xludf.DUMMYFUNCTION("""COMPUTED_VALUE"""),"ITiCSE")</f>
        <v>ITiCSE</v>
      </c>
      <c r="C72" s="175" t="str">
        <f>IFERROR(__xludf.DUMMYFUNCTION("""COMPUTED_VALUE"""),"ITiCSE - Conference on Innovation and Technology in Computer Science Education")</f>
        <v>ITiCSE - Conference on Innovation and Technology in Computer Science Education</v>
      </c>
      <c r="D72" s="176">
        <f>IFERROR(__xludf.DUMMYFUNCTION("""COMPUTED_VALUE"""),35.0)</f>
        <v>35</v>
      </c>
      <c r="E72" s="147" t="str">
        <f>IFERROR(__xludf.DUMMYFUNCTION("""COMPUTED_VALUE"""),"https://scholar.google.com.br/citations?hl=en&amp;view_op=list_hcore&amp;venue=68UDAZLIQo8J.2024")</f>
        <v>https://scholar.google.com.br/citations?hl=en&amp;view_op=list_hcore&amp;venue=68UDAZLIQo8J.2024</v>
      </c>
      <c r="F72" s="57"/>
      <c r="H72" t="str">
        <f>IFERROR(__xludf.DUMMYFUNCTION("""COMPUTED_VALUE"""),"Joint Conference on Innovation and Technology in Computer Science Education")</f>
        <v>Joint Conference on Innovation and Technology in Computer Science Education</v>
      </c>
      <c r="I72" s="60" t="str">
        <f>IFERROR(__xludf.DUMMYFUNCTION("""COMPUTED_VALUE"""),"https://dblp.org/db/conf/iticse/index.html")</f>
        <v>https://dblp.org/db/conf/iticse/index.html</v>
      </c>
    </row>
    <row r="73">
      <c r="A73" s="68" t="str">
        <f>IFERROR(__xludf.DUMMYFUNCTION("""COMPUTED_VALUE"""),"Eventos da Área")</f>
        <v>Eventos da Área</v>
      </c>
      <c r="B73" s="175" t="str">
        <f>IFERROR(__xludf.DUMMYFUNCTION("""COMPUTED_VALUE"""),"SIBGRAPI")</f>
        <v>SIBGRAPI</v>
      </c>
      <c r="C73" s="175" t="str">
        <f>IFERROR(__xludf.DUMMYFUNCTION("""COMPUTED_VALUE"""),"Conference on Graphics, Patterns and Images")</f>
        <v>Conference on Graphics, Patterns and Images</v>
      </c>
      <c r="D73" s="176">
        <f>IFERROR(__xludf.DUMMYFUNCTION("""COMPUTED_VALUE"""),23.0)</f>
        <v>23</v>
      </c>
      <c r="E73" s="147" t="str">
        <f>IFERROR(__xludf.DUMMYFUNCTION("""COMPUTED_VALUE"""),"https://scholar.google.com.br/citations?hl=pt-BR&amp;view_op=list_hcore&amp;venue=sPLlun2OWTwJ.2024")</f>
        <v>https://scholar.google.com.br/citations?hl=pt-BR&amp;view_op=list_hcore&amp;venue=sPLlun2OWTwJ.2024</v>
      </c>
      <c r="F73" s="57"/>
      <c r="I73" s="60" t="str">
        <f>IFERROR(__xludf.DUMMYFUNCTION("""COMPUTED_VALUE"""),"https://dblp.org/db/conf/sibgrapi/index.html")</f>
        <v>https://dblp.org/db/conf/sibgrapi/index.html</v>
      </c>
      <c r="J73" s="60" t="str">
        <f>IFERROR(__xludf.DUMMYFUNCTION("""COMPUTED_VALUE"""),"https://sol.sbc.org.br/index.php/sibgrapi")</f>
        <v>https://sol.sbc.org.br/index.php/sibgrapi</v>
      </c>
    </row>
    <row r="74">
      <c r="A74" s="68" t="str">
        <f>IFERROR(__xludf.DUMMYFUNCTION("""COMPUTED_VALUE"""),"Eventos da Área")</f>
        <v>Eventos da Área</v>
      </c>
      <c r="B74" s="175" t="str">
        <f>IFERROR(__xludf.DUMMYFUNCTION("""COMPUTED_VALUE"""),"VAST")</f>
        <v>VAST</v>
      </c>
      <c r="C74" s="175" t="str">
        <f>IFERROR(__xludf.DUMMYFUNCTION("""COMPUTED_VALUE"""),"IEEE Visual Analytics Science and Technology")</f>
        <v>IEEE Visual Analytics Science and Technology</v>
      </c>
      <c r="D74" s="176"/>
      <c r="E74" s="147" t="str">
        <f>IFERROR(__xludf.DUMMYFUNCTION("""COMPUTED_VALUE"""),"Conferência parte do VIS. Não encontrada no Scholar")</f>
        <v>Conferência parte do VIS. Não encontrada no Scholar</v>
      </c>
      <c r="F74" s="57" t="str">
        <f>IFERROR(__xludf.DUMMYFUNCTION("""COMPUTED_VALUE"""),"IEEE VIS")</f>
        <v>IEEE VIS</v>
      </c>
      <c r="G74" t="str">
        <f>IFERROR(__xludf.DUMMYFUNCTION("""COMPUTED_VALUE"""),"IEEE Visualization")</f>
        <v>IEEE Visualization</v>
      </c>
      <c r="I74" s="60" t="str">
        <f>IFERROR(__xludf.DUMMYFUNCTION("""COMPUTED_VALUE"""),"https://dblp.org/db/conf/ieeevast/index.html")</f>
        <v>https://dblp.org/db/conf/ieeevast/index.html</v>
      </c>
    </row>
    <row r="75">
      <c r="A75" s="68" t="str">
        <f>IFERROR(__xludf.DUMMYFUNCTION("""COMPUTED_VALUE"""),"Eventos da Área")</f>
        <v>Eventos da Área</v>
      </c>
      <c r="B75" s="175" t="str">
        <f>IFERROR(__xludf.DUMMYFUNCTION("""COMPUTED_VALUE"""),"SBIE")</f>
        <v>SBIE</v>
      </c>
      <c r="C75" s="175" t="str">
        <f>IFERROR(__xludf.DUMMYFUNCTION("""COMPUTED_VALUE"""),"Simpósio Brasileiro de Informática na Educação")</f>
        <v>Simpósio Brasileiro de Informática na Educação</v>
      </c>
      <c r="D75" s="176">
        <f>IFERROR(__xludf.DUMMYFUNCTION("""COMPUTED_VALUE"""),12.0)</f>
        <v>12</v>
      </c>
      <c r="E75" s="147" t="str">
        <f>IFERROR(__xludf.DUMMYFUNCTION("""COMPUTED_VALUE"""),"https://scholar.google.com.br/citations?hl=pt-BR&amp;view_op=list_hcore&amp;venue=DMcB-6XAVukJ.2024")</f>
        <v>https://scholar.google.com.br/citations?hl=pt-BR&amp;view_op=list_hcore&amp;venue=DMcB-6XAVukJ.2024</v>
      </c>
      <c r="F75" s="57"/>
      <c r="H75" t="str">
        <f>IFERROR(__xludf.DUMMYFUNCTION("""COMPUTED_VALUE"""),"Brazilian Symposium on Computers in Education (Simpósio Brasileiro de Informática na Educação-SBIE)")</f>
        <v>Brazilian Symposium on Computers in Education (Simpósio Brasileiro de Informática na Educação-SBIE)</v>
      </c>
      <c r="J75" s="60" t="str">
        <f>IFERROR(__xludf.DUMMYFUNCTION("""COMPUTED_VALUE"""),"https://sol.sbc.org.br/index.php/sbie")</f>
        <v>https://sol.sbc.org.br/index.php/sbie</v>
      </c>
    </row>
    <row r="76">
      <c r="A76" s="68" t="str">
        <f>IFERROR(__xludf.DUMMYFUNCTION("""COMPUTED_VALUE"""),"Eventos da Área")</f>
        <v>Eventos da Área</v>
      </c>
      <c r="B76" s="175" t="str">
        <f>IFERROR(__xludf.DUMMYFUNCTION("""COMPUTED_VALUE"""),"ICAR")</f>
        <v>ICAR</v>
      </c>
      <c r="C76" s="175" t="str">
        <f>IFERROR(__xludf.DUMMYFUNCTION("""COMPUTED_VALUE"""),"International Conference on Advanced Robotics")</f>
        <v>International Conference on Advanced Robotics</v>
      </c>
      <c r="D76" s="176">
        <f>IFERROR(__xludf.DUMMYFUNCTION("""COMPUTED_VALUE"""),20.0)</f>
        <v>20</v>
      </c>
      <c r="E76" s="147" t="str">
        <f>IFERROR(__xludf.DUMMYFUNCTION("""COMPUTED_VALUE"""),"https://scholar.google.com.br/citations?hl=en&amp;view_op=list_hcore&amp;venue=QTCI2sX39qUJ.2024")</f>
        <v>https://scholar.google.com.br/citations?hl=en&amp;view_op=list_hcore&amp;venue=QTCI2sX39qUJ.2024</v>
      </c>
      <c r="F76" s="57"/>
      <c r="I76" s="60" t="str">
        <f>IFERROR(__xludf.DUMMYFUNCTION("""COMPUTED_VALUE"""),"https://dblp.org/db/conf/icar/index.html")</f>
        <v>https://dblp.org/db/conf/icar/index.html</v>
      </c>
    </row>
    <row r="77">
      <c r="A77" s="68" t="str">
        <f>IFERROR(__xludf.DUMMYFUNCTION("""COMPUTED_VALUE"""),"Eventos da Área")</f>
        <v>Eventos da Área</v>
      </c>
      <c r="B77" s="175" t="str">
        <f>IFERROR(__xludf.DUMMYFUNCTION("""COMPUTED_VALUE"""),"SBAC-PAD")</f>
        <v>SBAC-PAD</v>
      </c>
      <c r="C77" s="175" t="str">
        <f>IFERROR(__xludf.DUMMYFUNCTION("""COMPUTED_VALUE"""),"SBAC-PAD - International Symposium on Computer Architecture and High Performance Computing")</f>
        <v>SBAC-PAD - International Symposium on Computer Architecture and High Performance Computing</v>
      </c>
      <c r="D77" s="176">
        <f>IFERROR(__xludf.DUMMYFUNCTION("""COMPUTED_VALUE"""),12.0)</f>
        <v>12</v>
      </c>
      <c r="E77" s="147" t="str">
        <f>IFERROR(__xludf.DUMMYFUNCTION("""COMPUTED_VALUE"""),"https://scholar.google.com.br/citations?hl=pt-BR&amp;view_op=list_hcore&amp;venue=xujU2BmpDawJ.2024")</f>
        <v>https://scholar.google.com.br/citations?hl=pt-BR&amp;view_op=list_hcore&amp;venue=xujU2BmpDawJ.2024</v>
      </c>
      <c r="F77" s="57"/>
      <c r="I77" s="60" t="str">
        <f>IFERROR(__xludf.DUMMYFUNCTION("""COMPUTED_VALUE"""),"https://dblp.org/db/conf/sbac-pad/index.html")</f>
        <v>https://dblp.org/db/conf/sbac-pad/index.html</v>
      </c>
    </row>
    <row r="78">
      <c r="A78" s="68" t="str">
        <f>IFERROR(__xludf.DUMMYFUNCTION("""COMPUTED_VALUE"""),"Eventos da Área")</f>
        <v>Eventos da Área</v>
      </c>
      <c r="B78" s="175" t="str">
        <f>IFERROR(__xludf.DUMMYFUNCTION("""COMPUTED_VALUE"""),"MVA")</f>
        <v>MVA</v>
      </c>
      <c r="C78" s="175" t="str">
        <f>IFERROR(__xludf.DUMMYFUNCTION("""COMPUTED_VALUE"""),"IAPR International Conference on Machine Vision Applications")</f>
        <v>IAPR International Conference on Machine Vision Applications</v>
      </c>
      <c r="D78" s="177">
        <f>IFERROR(__xludf.DUMMYFUNCTION("""COMPUTED_VALUE"""),15.0)</f>
        <v>15</v>
      </c>
      <c r="E78" s="147" t="str">
        <f>IFERROR(__xludf.DUMMYFUNCTION("""COMPUTED_VALUE"""),"https://scholar.google.com.br/citations?hl=pt-BR&amp;view_op=list_hcore&amp;venue=5GsHps3NV78J.2024")</f>
        <v>https://scholar.google.com.br/citations?hl=pt-BR&amp;view_op=list_hcore&amp;venue=5GsHps3NV78J.2024</v>
      </c>
      <c r="F78" s="178"/>
      <c r="I78" s="60" t="str">
        <f>IFERROR(__xludf.DUMMYFUNCTION("""COMPUTED_VALUE"""),"https://dblp.org/db/conf/mva/index.html")</f>
        <v>https://dblp.org/db/conf/mva/index.html</v>
      </c>
    </row>
    <row r="79">
      <c r="A79" s="68" t="str">
        <f>IFERROR(__xludf.DUMMYFUNCTION("""COMPUTED_VALUE"""),"Eventos da Área")</f>
        <v>Eventos da Área</v>
      </c>
      <c r="B79" s="175" t="str">
        <f>IFERROR(__xludf.DUMMYFUNCTION("""COMPUTED_VALUE"""),"SBCCI")</f>
        <v>SBCCI</v>
      </c>
      <c r="C79" s="175" t="str">
        <f>IFERROR(__xludf.DUMMYFUNCTION("""COMPUTED_VALUE"""),"SBCCI - Symposium on Integrated Circuits and Systems Design")</f>
        <v>SBCCI - Symposium on Integrated Circuits and Systems Design</v>
      </c>
      <c r="D79" s="176">
        <f>IFERROR(__xludf.DUMMYFUNCTION("""COMPUTED_VALUE"""),10.0)</f>
        <v>10</v>
      </c>
      <c r="E79" s="147" t="str">
        <f>IFERROR(__xludf.DUMMYFUNCTION("""COMPUTED_VALUE"""),"https://scholar.google.com.br/citations?hl=pt-BR&amp;view_op=list_hcore&amp;venue=ce7ecw4OEFoJ.2024")</f>
        <v>https://scholar.google.com.br/citations?hl=pt-BR&amp;view_op=list_hcore&amp;venue=ce7ecw4OEFoJ.2024</v>
      </c>
      <c r="F79" s="57"/>
      <c r="I79" s="60" t="str">
        <f>IFERROR(__xludf.DUMMYFUNCTION("""COMPUTED_VALUE"""),"https://dblp.org/db/conf/sbcci/index.html")</f>
        <v>https://dblp.org/db/conf/sbcci/index.html</v>
      </c>
    </row>
    <row r="80">
      <c r="A80" s="68" t="str">
        <f>IFERROR(__xludf.DUMMYFUNCTION("""COMPUTED_VALUE"""),"Eventos da Área")</f>
        <v>Eventos da Área</v>
      </c>
      <c r="B80" s="175" t="str">
        <f>IFERROR(__xludf.DUMMYFUNCTION("""COMPUTED_VALUE"""),"WebMedia")</f>
        <v>WebMedia</v>
      </c>
      <c r="C80" s="182" t="str">
        <f>IFERROR(__xludf.DUMMYFUNCTION("""COMPUTED_VALUE"""),"Brazilian Symposium on Multimedia and the Web")</f>
        <v>Brazilian Symposium on Multimedia and the Web</v>
      </c>
      <c r="D80" s="183">
        <f>IFERROR(__xludf.DUMMYFUNCTION("""COMPUTED_VALUE"""),13.0)</f>
        <v>13</v>
      </c>
      <c r="E80" s="147" t="str">
        <f>IFERROR(__xludf.DUMMYFUNCTION("""COMPUTED_VALUE"""),"https://scholar.google.com.br/citations?hl=pt-BR&amp;view_op=list_hcore&amp;venue=EL-07Zfxn_kJ.2024")</f>
        <v>https://scholar.google.com.br/citations?hl=pt-BR&amp;view_op=list_hcore&amp;venue=EL-07Zfxn_kJ.2024</v>
      </c>
      <c r="F80" s="57"/>
      <c r="I80" s="60" t="str">
        <f>IFERROR(__xludf.DUMMYFUNCTION("""COMPUTED_VALUE"""),"https://dblp.org/db/conf/webmedia/index.html")</f>
        <v>https://dblp.org/db/conf/webmedia/index.html</v>
      </c>
      <c r="J80" s="60" t="str">
        <f>IFERROR(__xludf.DUMMYFUNCTION("""COMPUTED_VALUE"""),"https://sol.sbc.org.br/index.php/webmedia")</f>
        <v>https://sol.sbc.org.br/index.php/webmedia</v>
      </c>
    </row>
    <row r="81">
      <c r="A81" s="68" t="str">
        <f>IFERROR(__xludf.DUMMYFUNCTION("""COMPUTED_VALUE"""),"Eventos da Área")</f>
        <v>Eventos da Área</v>
      </c>
      <c r="B81" s="175" t="str">
        <f>IFERROR(__xludf.DUMMYFUNCTION("""COMPUTED_VALUE"""),"IHC")</f>
        <v>IHC</v>
      </c>
      <c r="C81" s="182" t="str">
        <f>IFERROR(__xludf.DUMMYFUNCTION("""COMPUTED_VALUE"""),"Brazilian Symposium on Human Factors in Computing Systems")</f>
        <v>Brazilian Symposium on Human Factors in Computing Systems</v>
      </c>
      <c r="D81" s="183">
        <f>IFERROR(__xludf.DUMMYFUNCTION("""COMPUTED_VALUE"""),13.0)</f>
        <v>13</v>
      </c>
      <c r="E81" s="147" t="str">
        <f>IFERROR(__xludf.DUMMYFUNCTION("""COMPUTED_VALUE"""),"https://scholar.google.com.br/citations?hl=pt-BR&amp;view_op=list_hcore&amp;venue=YC7yoNYrtdAJ.2024")</f>
        <v>https://scholar.google.com.br/citations?hl=pt-BR&amp;view_op=list_hcore&amp;venue=YC7yoNYrtdAJ.2024</v>
      </c>
      <c r="F81" s="57"/>
      <c r="I81" s="60" t="str">
        <f>IFERROR(__xludf.DUMMYFUNCTION("""COMPUTED_VALUE"""),"https://dblp.org/db/conf/ihc/index.html")</f>
        <v>https://dblp.org/db/conf/ihc/index.html</v>
      </c>
    </row>
    <row r="82">
      <c r="A82" s="68" t="str">
        <f>IFERROR(__xludf.DUMMYFUNCTION("""COMPUTED_VALUE"""),"Eventos da Área")</f>
        <v>Eventos da Área</v>
      </c>
      <c r="B82" s="175" t="str">
        <f>IFERROR(__xludf.DUMMYFUNCTION("""COMPUTED_VALUE"""),"ASPRS")</f>
        <v>ASPRS</v>
      </c>
      <c r="C82" s="182" t="str">
        <f>IFERROR(__xludf.DUMMYFUNCTION("""COMPUTED_VALUE"""),"Annual Conference and International Lidar Mapping Forum")</f>
        <v>Annual Conference and International Lidar Mapping Forum</v>
      </c>
      <c r="D82" s="183"/>
      <c r="E82" s="147" t="str">
        <f>IFERROR(__xludf.DUMMYFUNCTION("""COMPUTED_VALUE"""),"Não encontrado em 2024")</f>
        <v>Não encontrado em 2024</v>
      </c>
      <c r="F82" s="57"/>
    </row>
    <row r="83">
      <c r="A83" s="68" t="str">
        <f>IFERROR(__xludf.DUMMYFUNCTION("""COMPUTED_VALUE"""),"Eventos da Área")</f>
        <v>Eventos da Área</v>
      </c>
      <c r="B83" s="175" t="str">
        <f>IFERROR(__xludf.DUMMYFUNCTION("""COMPUTED_VALUE"""),"CBA")</f>
        <v>CBA</v>
      </c>
      <c r="C83" s="175" t="str">
        <f>IFERROR(__xludf.DUMMYFUNCTION("""COMPUTED_VALUE"""),"Congresso Brasileiro de Automática")</f>
        <v>Congresso Brasileiro de Automática</v>
      </c>
      <c r="D83" s="183">
        <f>IFERROR(__xludf.DUMMYFUNCTION("""COMPUTED_VALUE"""),7.0)</f>
        <v>7</v>
      </c>
      <c r="E83" s="147" t="str">
        <f>IFERROR(__xludf.DUMMYFUNCTION("""COMPUTED_VALUE"""),"https://scholar.google.com.br/citations?hl=pt-BR&amp;view_op=list_hcore&amp;venue=dV-L3bCgyPcJ.2024")</f>
        <v>https://scholar.google.com.br/citations?hl=pt-BR&amp;view_op=list_hcore&amp;venue=dV-L3bCgyPcJ.2024</v>
      </c>
      <c r="F83" s="57"/>
    </row>
    <row r="84">
      <c r="A84" s="68" t="str">
        <f>IFERROR(__xludf.DUMMYFUNCTION("""COMPUTED_VALUE"""),"Eventos da Área")</f>
        <v>Eventos da Área</v>
      </c>
      <c r="B84" s="175" t="str">
        <f>IFERROR(__xludf.DUMMYFUNCTION("""COMPUTED_VALUE"""),"ACE-X")</f>
        <v>ACE-X</v>
      </c>
      <c r="C84" s="182" t="str">
        <f>IFERROR(__xludf.DUMMYFUNCTION("""COMPUTED_VALUE"""),"International Conference on Advanced Computational Engineering and Experimenting")</f>
        <v>International Conference on Advanced Computational Engineering and Experimenting</v>
      </c>
      <c r="D84" s="183"/>
      <c r="E84" s="147" t="str">
        <f>IFERROR(__xludf.DUMMYFUNCTION("""COMPUTED_VALUE"""),"Não encontrado em 2024")</f>
        <v>Não encontrado em 2024</v>
      </c>
      <c r="F84" s="57"/>
    </row>
    <row r="85">
      <c r="A85" s="68" t="str">
        <f>IFERROR(__xludf.DUMMYFUNCTION("""COMPUTED_VALUE"""),"Eventos da Área")</f>
        <v>Eventos da Área</v>
      </c>
      <c r="B85" s="175" t="str">
        <f>IFERROR(__xludf.DUMMYFUNCTION("""COMPUTED_VALUE"""),"CBEB")</f>
        <v>CBEB</v>
      </c>
      <c r="C85" s="182" t="str">
        <f>IFERROR(__xludf.DUMMYFUNCTION("""COMPUTED_VALUE"""),"Congresso Brasileiro de Engenharia Biomédica")</f>
        <v>Congresso Brasileiro de Engenharia Biomédica</v>
      </c>
      <c r="D85" s="183">
        <f>IFERROR(__xludf.DUMMYFUNCTION("""COMPUTED_VALUE"""),1.0)</f>
        <v>1</v>
      </c>
      <c r="E85" s="147" t="str">
        <f>IFERROR(__xludf.DUMMYFUNCTION("""COMPUTED_VALUE"""),"Calculado com h-index calculator 2020-2024")</f>
        <v>Calculado com h-index calculator 2020-2024</v>
      </c>
      <c r="F85" s="57"/>
    </row>
    <row r="86">
      <c r="A86" s="68" t="str">
        <f>IFERROR(__xludf.DUMMYFUNCTION("""COMPUTED_VALUE"""),"Eventos da Área")</f>
        <v>Eventos da Área</v>
      </c>
      <c r="B86" s="175" t="str">
        <f>IFERROR(__xludf.DUMMYFUNCTION("""COMPUTED_VALUE"""),"CILAMCE")</f>
        <v>CILAMCE</v>
      </c>
      <c r="C86" s="182" t="str">
        <f>IFERROR(__xludf.DUMMYFUNCTION("""COMPUTED_VALUE"""),"Iberian Latin American Congress on Computational Methods")</f>
        <v>Iberian Latin American Congress on Computational Methods</v>
      </c>
      <c r="D86" s="183"/>
      <c r="E86" s="147" t="str">
        <f>IFERROR(__xludf.DUMMYFUNCTION("""COMPUTED_VALUE"""),"https://scholar.google.com.br/citations?hl=pt-BR&amp;view_op=list_hcore&amp;venue=lPvkMWc1mQ8J.2024")</f>
        <v>https://scholar.google.com.br/citations?hl=pt-BR&amp;view_op=list_hcore&amp;venue=lPvkMWc1mQ8J.2024</v>
      </c>
      <c r="F86" s="57"/>
      <c r="G86" t="str">
        <f>IFERROR(__xludf.DUMMYFUNCTION("""COMPUTED_VALUE"""),"Ibero-Latin American Congress on Computational Methods in Engineering")</f>
        <v>Ibero-Latin American Congress on Computational Methods in Engineering</v>
      </c>
    </row>
    <row r="87">
      <c r="A87" s="68" t="str">
        <f>IFERROR(__xludf.DUMMYFUNCTION("""COMPUTED_VALUE"""),"Eventos da Área")</f>
        <v>Eventos da Área</v>
      </c>
      <c r="B87" s="175" t="str">
        <f>IFERROR(__xludf.DUMMYFUNCTION("""COMPUTED_VALUE"""),"CIMENICS")</f>
        <v>CIMENICS</v>
      </c>
      <c r="C87" s="182" t="str">
        <f>IFERROR(__xludf.DUMMYFUNCTION("""COMPUTED_VALUE"""),"International Congress on Numerical Methods in Engineering and Applied Sciences")</f>
        <v>International Congress on Numerical Methods in Engineering and Applied Sciences</v>
      </c>
      <c r="D87" s="183">
        <f>IFERROR(__xludf.DUMMYFUNCTION("""COMPUTED_VALUE"""),1.0)</f>
        <v>1</v>
      </c>
      <c r="E87" s="147" t="str">
        <f>IFERROR(__xludf.DUMMYFUNCTION("""COMPUTED_VALUE"""),"Calculado com h-index calculator 2020-2024")</f>
        <v>Calculado com h-index calculator 2020-2024</v>
      </c>
      <c r="F87" s="57"/>
    </row>
    <row r="88">
      <c r="A88" s="68" t="str">
        <f>IFERROR(__xludf.DUMMYFUNCTION("""COMPUTED_VALUE"""),"Eventos da Área")</f>
        <v>Eventos da Área</v>
      </c>
      <c r="B88" s="175" t="str">
        <f>IFERROR(__xludf.DUMMYFUNCTION("""COMPUTED_VALUE"""),"CMN")</f>
        <v>CMN</v>
      </c>
      <c r="C88" s="182" t="str">
        <f>IFERROR(__xludf.DUMMYFUNCTION("""COMPUTED_VALUE"""),"Congress on Numerical Methods in Engineering")</f>
        <v>Congress on Numerical Methods in Engineering</v>
      </c>
      <c r="D88" s="183">
        <f>IFERROR(__xludf.DUMMYFUNCTION("""COMPUTED_VALUE"""),1.0)</f>
        <v>1</v>
      </c>
      <c r="E88" s="147" t="str">
        <f>IFERROR(__xludf.DUMMYFUNCTION("""COMPUTED_VALUE"""),"Calculado com h-index calculator 2020-2024")</f>
        <v>Calculado com h-index calculator 2020-2024</v>
      </c>
      <c r="F88" s="57"/>
    </row>
    <row r="89">
      <c r="A89" s="68" t="str">
        <f>IFERROR(__xludf.DUMMYFUNCTION("""COMPUTED_VALUE"""),"Eventos da Área")</f>
        <v>Eventos da Área</v>
      </c>
      <c r="B89" s="175" t="str">
        <f>IFERROR(__xludf.DUMMYFUNCTION("""COMPUTED_VALUE"""),"I/ITSEC")</f>
        <v>I/ITSEC</v>
      </c>
      <c r="C89" s="175" t="str">
        <f>IFERROR(__xludf.DUMMYFUNCTION("""COMPUTED_VALUE"""),"Interservice/Industry Training, Simulation &amp; Education Conference")</f>
        <v>Interservice/Industry Training, Simulation &amp; Education Conference</v>
      </c>
      <c r="D89" s="183">
        <f>IFERROR(__xludf.DUMMYFUNCTION("""COMPUTED_VALUE"""),2.0)</f>
        <v>2</v>
      </c>
      <c r="E89" s="147" t="str">
        <f>IFERROR(__xludf.DUMMYFUNCTION("""COMPUTED_VALUE"""),"Calculado com h-index calculator 2020-2024")</f>
        <v>Calculado com h-index calculator 2020-2024</v>
      </c>
      <c r="F89" s="57"/>
    </row>
    <row r="90">
      <c r="A90" s="68" t="str">
        <f>IFERROR(__xludf.DUMMYFUNCTION("""COMPUTED_VALUE"""),"Eventos da Área")</f>
        <v>Eventos da Área</v>
      </c>
      <c r="B90" s="177" t="str">
        <f>IFERROR(__xludf.DUMMYFUNCTION("""COMPUTED_VALUE"""),"ICVIIP")</f>
        <v>ICVIIP</v>
      </c>
      <c r="C90" s="182" t="str">
        <f>IFERROR(__xludf.DUMMYFUNCTION("""COMPUTED_VALUE"""),"International Conference on Visualization: Imaging and Image Processing")</f>
        <v>International Conference on Visualization: Imaging and Image Processing</v>
      </c>
      <c r="D90" s="183"/>
      <c r="E90" s="147" t="str">
        <f>IFERROR(__xludf.DUMMYFUNCTION("""COMPUTED_VALUE"""),"Não encontrado em 2024")</f>
        <v>Não encontrado em 2024</v>
      </c>
      <c r="F90" s="57"/>
    </row>
    <row r="91">
      <c r="A91" s="68" t="str">
        <f>IFERROR(__xludf.DUMMYFUNCTION("""COMPUTED_VALUE"""),"Eventos da Área")</f>
        <v>Eventos da Área</v>
      </c>
      <c r="B91" s="175" t="str">
        <f>IFERROR(__xludf.DUMMYFUNCTION("""COMPUTED_VALUE"""),"InfoVis")</f>
        <v>InfoVis</v>
      </c>
      <c r="C91" s="182" t="str">
        <f>IFERROR(__xludf.DUMMYFUNCTION("""COMPUTED_VALUE"""),"IEEE Information Visualization")</f>
        <v>IEEE Information Visualization</v>
      </c>
      <c r="D91" s="183"/>
      <c r="E91" s="147" t="str">
        <f>IFERROR(__xludf.DUMMYFUNCTION("""COMPUTED_VALUE"""),"https://scholar.google.com.br/citations?hl=pt-BR&amp;view_op=list_hcore&amp;venue=vRWGetFmuFkJ.2024")</f>
        <v>https://scholar.google.com.br/citations?hl=pt-BR&amp;view_op=list_hcore&amp;venue=vRWGetFmuFkJ.2024</v>
      </c>
      <c r="F91" s="57" t="str">
        <f>IFERROR(__xludf.DUMMYFUNCTION("""COMPUTED_VALUE"""),"IEEE VIS")</f>
        <v>IEEE VIS</v>
      </c>
      <c r="G91" t="str">
        <f>IFERROR(__xludf.DUMMYFUNCTION("""COMPUTED_VALUE"""),"IEEE Visualization")</f>
        <v>IEEE Visualization</v>
      </c>
      <c r="I91" s="60" t="str">
        <f>IFERROR(__xludf.DUMMYFUNCTION("""COMPUTED_VALUE"""),"https://dblp.org/db/conf/infovis/index.html")</f>
        <v>https://dblp.org/db/conf/infovis/index.html</v>
      </c>
    </row>
    <row r="92">
      <c r="A92" s="68" t="str">
        <f>IFERROR(__xludf.DUMMYFUNCTION("""COMPUTED_VALUE"""),"Eventos da Área")</f>
        <v>Eventos da Área</v>
      </c>
      <c r="B92" s="175" t="str">
        <f>IFERROR(__xludf.DUMMYFUNCTION("""COMPUTED_VALUE"""),"LARS")</f>
        <v>LARS</v>
      </c>
      <c r="C92" s="182" t="str">
        <f>IFERROR(__xludf.DUMMYFUNCTION("""COMPUTED_VALUE"""),"IEEE Latin American Robotics Symposium")</f>
        <v>IEEE Latin American Robotics Symposium</v>
      </c>
      <c r="D92" s="183">
        <f>IFERROR(__xludf.DUMMYFUNCTION("""COMPUTED_VALUE"""),13.0)</f>
        <v>13</v>
      </c>
      <c r="E92" s="147" t="str">
        <f>IFERROR(__xludf.DUMMYFUNCTION("""COMPUTED_VALUE"""),"Calculado com h-index calculator 2020-2024")</f>
        <v>Calculado com h-index calculator 2020-2024</v>
      </c>
      <c r="F92" s="57"/>
      <c r="I92" s="60" t="str">
        <f>IFERROR(__xludf.DUMMYFUNCTION("""COMPUTED_VALUE"""),"https://dblp.org/db/conf/larc/index.html")</f>
        <v>https://dblp.org/db/conf/larc/index.html</v>
      </c>
    </row>
    <row r="93">
      <c r="A93" s="68" t="str">
        <f>IFERROR(__xludf.DUMMYFUNCTION("""COMPUTED_VALUE"""),"Eventos da Área")</f>
        <v>Eventos da Área</v>
      </c>
      <c r="B93" s="175" t="str">
        <f>IFERROR(__xludf.DUMMYFUNCTION("""COMPUTED_VALUE"""),"SBAI")</f>
        <v>SBAI</v>
      </c>
      <c r="C93" s="182" t="str">
        <f>IFERROR(__xludf.DUMMYFUNCTION("""COMPUTED_VALUE"""),"Simpósio Brasileiro de Automação Inteligente")</f>
        <v>Simpósio Brasileiro de Automação Inteligente</v>
      </c>
      <c r="D93" s="183">
        <f>IFERROR(__xludf.DUMMYFUNCTION("""COMPUTED_VALUE"""),3.0)</f>
        <v>3</v>
      </c>
      <c r="E93" s="147" t="str">
        <f>IFERROR(__xludf.DUMMYFUNCTION("""COMPUTED_VALUE"""),"https://scholar.google.com.br/citations?hl=pt-BR&amp;view_op=list_hcore&amp;venue=poyWVKlO8ggJ.2024")</f>
        <v>https://scholar.google.com.br/citations?hl=pt-BR&amp;view_op=list_hcore&amp;venue=poyWVKlO8ggJ.2024</v>
      </c>
      <c r="F93" s="57"/>
    </row>
    <row r="94">
      <c r="A94" s="68" t="str">
        <f>IFERROR(__xludf.DUMMYFUNCTION("""COMPUTED_VALUE"""),"Eventos da Área")</f>
        <v>Eventos da Área</v>
      </c>
      <c r="B94" s="175" t="str">
        <f>IFERROR(__xludf.DUMMYFUNCTION("""COMPUTED_VALUE"""),"SBCM")</f>
        <v>SBCM</v>
      </c>
      <c r="C94" s="182" t="str">
        <f>IFERROR(__xludf.DUMMYFUNCTION("""COMPUTED_VALUE"""),"Simpósio Brasileiro em Computação Musical")</f>
        <v>Simpósio Brasileiro em Computação Musical</v>
      </c>
      <c r="D94" s="183"/>
      <c r="E94" s="147" t="str">
        <f>IFERROR(__xludf.DUMMYFUNCTION("""COMPUTED_VALUE"""),"Não encontrado em 2024")</f>
        <v>Não encontrado em 2024</v>
      </c>
      <c r="F94" s="57"/>
      <c r="J94" s="60" t="str">
        <f>IFERROR(__xludf.DUMMYFUNCTION("""COMPUTED_VALUE"""),"https://sol.sbc.org.br/index.php/sbcm")</f>
        <v>https://sol.sbc.org.br/index.php/sbcm</v>
      </c>
    </row>
    <row r="95">
      <c r="A95" s="68" t="str">
        <f>IFERROR(__xludf.DUMMYFUNCTION("""COMPUTED_VALUE"""),"Eventos da Área")</f>
        <v>Eventos da Área</v>
      </c>
      <c r="B95" s="175" t="str">
        <f>IFERROR(__xludf.DUMMYFUNCTION("""COMPUTED_VALUE"""),"SBGames")</f>
        <v>SBGames</v>
      </c>
      <c r="C95" s="175" t="str">
        <f>IFERROR(__xludf.DUMMYFUNCTION("""COMPUTED_VALUE"""),"Brazilian Symposium on Games and Digital Entertainment")</f>
        <v>Brazilian Symposium on Games and Digital Entertainment</v>
      </c>
      <c r="D95" s="183">
        <f>IFERROR(__xludf.DUMMYFUNCTION("""COMPUTED_VALUE"""),10.0)</f>
        <v>10</v>
      </c>
      <c r="E95" s="147" t="str">
        <f>IFERROR(__xludf.DUMMYFUNCTION("""COMPUTED_VALUE"""),"https://scholar.google.com.br/citations?hl=pt-BR&amp;view_op=list_hcore&amp;venue=ByeMqHL0dxAJ.2024")</f>
        <v>https://scholar.google.com.br/citations?hl=pt-BR&amp;view_op=list_hcore&amp;venue=ByeMqHL0dxAJ.2024</v>
      </c>
      <c r="F95" s="57"/>
    </row>
    <row r="96">
      <c r="A96" s="68" t="str">
        <f>IFERROR(__xludf.DUMMYFUNCTION("""COMPUTED_VALUE"""),"Eventos da Área")</f>
        <v>Eventos da Área</v>
      </c>
      <c r="B96" s="175" t="str">
        <f>IFERROR(__xludf.DUMMYFUNCTION("""COMPUTED_VALUE"""),"SBR")</f>
        <v>SBR</v>
      </c>
      <c r="C96" s="184" t="str">
        <f>IFERROR(__xludf.DUMMYFUNCTION("""COMPUTED_VALUE"""),"Simpósio Brasileiro de Robótica")</f>
        <v>Simpósio Brasileiro de Robótica</v>
      </c>
      <c r="D96" s="183">
        <f>IFERROR(__xludf.DUMMYFUNCTION("""COMPUTED_VALUE"""),2.0)</f>
        <v>2</v>
      </c>
      <c r="E96" s="147" t="str">
        <f>IFERROR(__xludf.DUMMYFUNCTION("""COMPUTED_VALUE"""),"Calculado com h-index calculator 2020-2024")</f>
        <v>Calculado com h-index calculator 2020-2024</v>
      </c>
      <c r="F96" s="57"/>
      <c r="J96" s="60" t="str">
        <f>IFERROR(__xludf.DUMMYFUNCTION("""COMPUTED_VALUE"""),"https://sol.sbc.org.br/index.php/sbrlars")</f>
        <v>https://sol.sbc.org.br/index.php/sbrlars</v>
      </c>
    </row>
    <row r="97">
      <c r="A97" s="68" t="str">
        <f>IFERROR(__xludf.DUMMYFUNCTION("""COMPUTED_VALUE"""),"Eventos da Área")</f>
        <v>Eventos da Área</v>
      </c>
      <c r="B97" s="177" t="str">
        <f>IFERROR(__xludf.DUMMYFUNCTION("""COMPUTED_VALUE"""),"SciVis")</f>
        <v>SciVis</v>
      </c>
      <c r="C97" s="182" t="str">
        <f>IFERROR(__xludf.DUMMYFUNCTION("""COMPUTED_VALUE"""),"IEEE Scientific Visualization")</f>
        <v>IEEE Scientific Visualization</v>
      </c>
      <c r="D97" s="183"/>
      <c r="E97" s="147" t="str">
        <f>IFERROR(__xludf.DUMMYFUNCTION("""COMPUTED_VALUE"""),"Não encontrado em 2024")</f>
        <v>Não encontrado em 2024</v>
      </c>
      <c r="F97" s="57" t="str">
        <f>IFERROR(__xludf.DUMMYFUNCTION("""COMPUTED_VALUE"""),"IEEE VIS")</f>
        <v>IEEE VIS</v>
      </c>
      <c r="G97" t="str">
        <f>IFERROR(__xludf.DUMMYFUNCTION("""COMPUTED_VALUE"""),"IEEE Visualization")</f>
        <v>IEEE Visualization</v>
      </c>
      <c r="I97" s="60" t="str">
        <f>IFERROR(__xludf.DUMMYFUNCTION("""COMPUTED_VALUE"""),"https://dblp.org/db/conf/scivis/index.html")</f>
        <v>https://dblp.org/db/conf/scivis/index.html</v>
      </c>
    </row>
    <row r="98">
      <c r="A98" s="68" t="str">
        <f>IFERROR(__xludf.DUMMYFUNCTION("""COMPUTED_VALUE"""),"Eventos da Área")</f>
        <v>Eventos da Área</v>
      </c>
      <c r="B98" s="175" t="str">
        <f>IFERROR(__xludf.DUMMYFUNCTION("""COMPUTED_VALUE"""),"USIHC")</f>
        <v>USIHC</v>
      </c>
      <c r="C98" s="182" t="str">
        <f>IFERROR(__xludf.DUMMYFUNCTION("""COMPUTED_VALUE"""),"Congresso Internacional de Ergonomia e Usabilidade de Interfaces Humano Computador")</f>
        <v>Congresso Internacional de Ergonomia e Usabilidade de Interfaces Humano Computador</v>
      </c>
      <c r="D98" s="183">
        <f>IFERROR(__xludf.DUMMYFUNCTION("""COMPUTED_VALUE"""),1.0)</f>
        <v>1</v>
      </c>
      <c r="E98" s="147" t="str">
        <f>IFERROR(__xludf.DUMMYFUNCTION("""COMPUTED_VALUE"""),"Calculado com h-index calculator 2020-2024")</f>
        <v>Calculado com h-index calculator 2020-2024</v>
      </c>
      <c r="F98" s="57"/>
    </row>
    <row r="99">
      <c r="A99" s="68" t="str">
        <f>IFERROR(__xludf.DUMMYFUNCTION("""COMPUTED_VALUE"""),"Eventos da Área")</f>
        <v>Eventos da Área</v>
      </c>
      <c r="B99" s="175" t="str">
        <f>IFERROR(__xludf.DUMMYFUNCTION("""COMPUTED_VALUE"""),"WRVA")</f>
        <v>WRVA</v>
      </c>
      <c r="C99" s="184" t="str">
        <f>IFERROR(__xludf.DUMMYFUNCTION("""COMPUTED_VALUE"""),"Workshop de Realidade Virtual e Aumentada")</f>
        <v>Workshop de Realidade Virtual e Aumentada</v>
      </c>
      <c r="D99" s="183"/>
      <c r="E99" s="147" t="str">
        <f>IFERROR(__xludf.DUMMYFUNCTION("""COMPUTED_VALUE"""),"Não encontrado em 2024")</f>
        <v>Não encontrado em 2024</v>
      </c>
      <c r="F99" s="57"/>
    </row>
    <row r="100">
      <c r="A100" s="68" t="str">
        <f>IFERROR(__xludf.DUMMYFUNCTION("""COMPUTED_VALUE"""),"Eventos da Área")</f>
        <v>Eventos da Área</v>
      </c>
      <c r="B100" s="175" t="str">
        <f>IFERROR(__xludf.DUMMYFUNCTION("""COMPUTED_VALUE"""),"WSCAD")</f>
        <v>WSCAD</v>
      </c>
      <c r="C100" s="175" t="str">
        <f>IFERROR(__xludf.DUMMYFUNCTION("""COMPUTED_VALUE"""),"Simpósio em Sistemas Computacionais de Alto Desempenho")</f>
        <v>Simpósio em Sistemas Computacionais de Alto Desempenho</v>
      </c>
      <c r="D100" s="183">
        <f>IFERROR(__xludf.DUMMYFUNCTION("""COMPUTED_VALUE"""),7.0)</f>
        <v>7</v>
      </c>
      <c r="E100" s="147" t="str">
        <f>IFERROR(__xludf.DUMMYFUNCTION("""COMPUTED_VALUE"""),"https://scholar.google.com.br/citations?hl=pt-BR&amp;view_op=search_venues&amp;vq=Simp%C3%B3sio+de+Sistemas+Computacionais+de+Alto+Desempenho&amp;btnG=")</f>
        <v>https://scholar.google.com.br/citations?hl=pt-BR&amp;view_op=search_venues&amp;vq=Simp%C3%B3sio+de+Sistemas+Computacionais+de+Alto+Desempenho&amp;btnG=</v>
      </c>
      <c r="F100" s="57" t="str">
        <f>IFERROR(__xludf.DUMMYFUNCTION("""COMPUTED_VALUE"""),"SSCAD")</f>
        <v>SSCAD</v>
      </c>
    </row>
    <row r="101">
      <c r="A101" s="68" t="str">
        <f>IFERROR(__xludf.DUMMYFUNCTION("""COMPUTED_VALUE"""),"Eventos da Área")</f>
        <v>Eventos da Área</v>
      </c>
      <c r="B101" s="175" t="str">
        <f>IFERROR(__xludf.DUMMYFUNCTION("""COMPUTED_VALUE"""),"WSCG")</f>
        <v>WSCG</v>
      </c>
      <c r="C101" s="182" t="str">
        <f>IFERROR(__xludf.DUMMYFUNCTION("""COMPUTED_VALUE"""),"International Conferences in Central Europe on Computer Graphics, Visualization and Computer Vision")</f>
        <v>International Conferences in Central Europe on Computer Graphics, Visualization and Computer Vision</v>
      </c>
      <c r="D101" s="183"/>
      <c r="E101" s="147" t="str">
        <f>IFERROR(__xludf.DUMMYFUNCTION("""COMPUTED_VALUE"""),"Não encontrado em 2024")</f>
        <v>Não encontrado em 2024</v>
      </c>
      <c r="F101" s="57"/>
    </row>
    <row r="102">
      <c r="A102" t="str">
        <f>IFERROR(__xludf.DUMMYFUNCTION("""COMPUTED_VALUE"""),"Eventos da Área")</f>
        <v>Eventos da Área</v>
      </c>
      <c r="B102" t="str">
        <f>IFERROR(__xludf.DUMMYFUNCTION("""COMPUTED_VALUE"""),"IEEE S&amp;P")</f>
        <v>IEEE S&amp;P</v>
      </c>
      <c r="C102" t="str">
        <f>IFERROR(__xludf.DUMMYFUNCTION("""COMPUTED_VALUE"""),"IEEE Symposium on Security and Privacy")</f>
        <v>IEEE Symposium on Security and Privacy</v>
      </c>
      <c r="D102">
        <f>IFERROR(__xludf.DUMMYFUNCTION("""COMPUTED_VALUE"""),112.0)</f>
        <v>112</v>
      </c>
      <c r="E102" s="147" t="str">
        <f>IFERROR(__xludf.DUMMYFUNCTION("""COMPUTED_VALUE"""),"https://scholar.google.com.br/citations?hl=pt-BR&amp;view_op=list_hcore&amp;venue=cyrroHz3a0YJ.2024")</f>
        <v>https://scholar.google.com.br/citations?hl=pt-BR&amp;view_op=list_hcore&amp;venue=cyrroHz3a0YJ.2024</v>
      </c>
      <c r="F102" s="57"/>
    </row>
    <row r="103">
      <c r="A103" t="str">
        <f>IFERROR(__xludf.DUMMYFUNCTION("""COMPUTED_VALUE"""),"Eventos da Área")</f>
        <v>Eventos da Área</v>
      </c>
      <c r="B103" t="str">
        <f>IFERROR(__xludf.DUMMYFUNCTION("""COMPUTED_VALUE"""),"CLEI")</f>
        <v>CLEI</v>
      </c>
      <c r="C103" t="str">
        <f>IFERROR(__xludf.DUMMYFUNCTION("""COMPUTED_VALUE"""),"Conferencia Latinoamericana de Informática")</f>
        <v>Conferencia Latinoamericana de Informática</v>
      </c>
      <c r="D103">
        <f>IFERROR(__xludf.DUMMYFUNCTION("""COMPUTED_VALUE"""),2.0)</f>
        <v>2</v>
      </c>
      <c r="E103" s="147" t="str">
        <f>IFERROR(__xludf.DUMMYFUNCTION("""COMPUTED_VALUE"""),"Calculado com h-index calculator 2020-2024")</f>
        <v>Calculado com h-index calculator 2020-2024</v>
      </c>
      <c r="F103" s="57"/>
    </row>
    <row r="104">
      <c r="A104" t="str">
        <f>IFERROR(__xludf.DUMMYFUNCTION("""COMPUTED_VALUE"""),"Eventos da Área")</f>
        <v>Eventos da Área</v>
      </c>
      <c r="B104" t="str">
        <f>IFERROR(__xludf.DUMMYFUNCTION("""COMPUTED_VALUE"""),"ICDVRAT")</f>
        <v>ICDVRAT</v>
      </c>
      <c r="C104" t="str">
        <f>IFERROR(__xludf.DUMMYFUNCTION("""COMPUTED_VALUE"""),"International Conference on Disability, Virtual Reality &amp; Associated Technologies")</f>
        <v>International Conference on Disability, Virtual Reality &amp; Associated Technologies</v>
      </c>
      <c r="D104">
        <f>IFERROR(__xludf.DUMMYFUNCTION("""COMPUTED_VALUE"""),2.0)</f>
        <v>2</v>
      </c>
      <c r="E104" s="147" t="str">
        <f>IFERROR(__xludf.DUMMYFUNCTION("""COMPUTED_VALUE"""),"Calculado com h-index calculator 2020-2024")</f>
        <v>Calculado com h-index calculator 2020-2024</v>
      </c>
      <c r="F104" s="57"/>
    </row>
    <row r="109">
      <c r="B109" s="185"/>
      <c r="C109" s="186"/>
      <c r="D109" s="187"/>
      <c r="F109" s="188"/>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E8"/>
    <hyperlink r:id="rId13" ref="I8"/>
    <hyperlink r:id="rId14" ref="E9"/>
    <hyperlink r:id="rId15" ref="I9"/>
    <hyperlink r:id="rId16" ref="E10"/>
    <hyperlink r:id="rId17" ref="I10"/>
    <hyperlink r:id="rId18" ref="E11"/>
    <hyperlink r:id="rId19" ref="I11"/>
    <hyperlink r:id="rId20" ref="E12"/>
    <hyperlink r:id="rId21" ref="I12"/>
    <hyperlink r:id="rId22" ref="I13"/>
    <hyperlink r:id="rId23" ref="I14"/>
    <hyperlink r:id="rId24" ref="E15"/>
    <hyperlink r:id="rId25" ref="I15"/>
    <hyperlink r:id="rId26" ref="I16"/>
    <hyperlink r:id="rId27" ref="E17"/>
    <hyperlink r:id="rId28" ref="I17"/>
    <hyperlink r:id="rId29" ref="E18"/>
    <hyperlink r:id="rId30" ref="I18"/>
    <hyperlink r:id="rId31" ref="E19"/>
    <hyperlink r:id="rId32" ref="E20"/>
    <hyperlink r:id="rId33" ref="I20"/>
    <hyperlink r:id="rId34" ref="I21"/>
    <hyperlink r:id="rId35" ref="I22"/>
    <hyperlink r:id="rId36" ref="E23"/>
    <hyperlink r:id="rId37" ref="I24"/>
    <hyperlink r:id="rId38" ref="E25"/>
    <hyperlink r:id="rId39" ref="I25"/>
    <hyperlink r:id="rId40" ref="E26"/>
    <hyperlink r:id="rId41" ref="E27"/>
    <hyperlink r:id="rId42" ref="I27"/>
    <hyperlink r:id="rId43" ref="E28"/>
    <hyperlink r:id="rId44" ref="I28"/>
    <hyperlink r:id="rId45" ref="E29"/>
    <hyperlink r:id="rId46" ref="I29"/>
    <hyperlink r:id="rId47" ref="E30"/>
    <hyperlink r:id="rId48" ref="I30"/>
    <hyperlink r:id="rId49" ref="E31"/>
    <hyperlink r:id="rId50" ref="I31"/>
    <hyperlink r:id="rId51" ref="E32"/>
    <hyperlink r:id="rId52" ref="I32"/>
    <hyperlink r:id="rId53" ref="E33"/>
    <hyperlink r:id="rId54" ref="I33"/>
    <hyperlink r:id="rId55" ref="E34"/>
    <hyperlink r:id="rId56" ref="I34"/>
    <hyperlink r:id="rId57" ref="E35"/>
    <hyperlink r:id="rId58" ref="I35"/>
    <hyperlink r:id="rId59" ref="E36"/>
    <hyperlink r:id="rId60" ref="I36"/>
    <hyperlink r:id="rId61" ref="E37"/>
    <hyperlink r:id="rId62" ref="E38"/>
    <hyperlink r:id="rId63" ref="I38"/>
    <hyperlink r:id="rId64" ref="E39"/>
    <hyperlink r:id="rId65" ref="I39"/>
    <hyperlink r:id="rId66" ref="E40"/>
    <hyperlink r:id="rId67" ref="I40"/>
    <hyperlink r:id="rId68" ref="E41"/>
    <hyperlink r:id="rId69" ref="I41"/>
    <hyperlink r:id="rId70" ref="E42"/>
    <hyperlink r:id="rId71" ref="I42"/>
    <hyperlink r:id="rId72" ref="E43"/>
    <hyperlink r:id="rId73" ref="I43"/>
    <hyperlink r:id="rId74" ref="E44"/>
    <hyperlink r:id="rId75" ref="I44"/>
    <hyperlink r:id="rId76" ref="E45"/>
    <hyperlink r:id="rId77" ref="I45"/>
    <hyperlink r:id="rId78" ref="E46"/>
    <hyperlink r:id="rId79" ref="I46"/>
    <hyperlink r:id="rId80" ref="E47"/>
    <hyperlink r:id="rId81" ref="I47"/>
    <hyperlink r:id="rId82" ref="E48"/>
    <hyperlink r:id="rId83" ref="I48"/>
    <hyperlink r:id="rId84" ref="E49"/>
    <hyperlink r:id="rId85" ref="I49"/>
    <hyperlink r:id="rId86" ref="E50"/>
    <hyperlink r:id="rId87" ref="I50"/>
    <hyperlink r:id="rId88" ref="E51"/>
    <hyperlink r:id="rId89" ref="I51"/>
    <hyperlink r:id="rId90" ref="I52"/>
    <hyperlink r:id="rId91" ref="E53"/>
    <hyperlink r:id="rId92" ref="I53"/>
    <hyperlink r:id="rId93" ref="E54"/>
    <hyperlink r:id="rId94" ref="I54"/>
    <hyperlink r:id="rId95" ref="E55"/>
    <hyperlink r:id="rId96" ref="I55"/>
    <hyperlink r:id="rId97" ref="E56"/>
    <hyperlink r:id="rId98" ref="I56"/>
    <hyperlink r:id="rId99" ref="E57"/>
    <hyperlink r:id="rId100" ref="I57"/>
    <hyperlink r:id="rId101" ref="E58"/>
    <hyperlink r:id="rId102" ref="I58"/>
    <hyperlink r:id="rId103" ref="E59"/>
    <hyperlink r:id="rId104" ref="I59"/>
    <hyperlink r:id="rId105" ref="E60"/>
    <hyperlink r:id="rId106" ref="I60"/>
    <hyperlink r:id="rId107" ref="E61"/>
    <hyperlink r:id="rId108" ref="I61"/>
    <hyperlink r:id="rId109" ref="E62"/>
    <hyperlink r:id="rId110" ref="I62"/>
    <hyperlink r:id="rId111" ref="E63"/>
    <hyperlink r:id="rId112" ref="I63"/>
    <hyperlink r:id="rId113" ref="E64"/>
    <hyperlink r:id="rId114" ref="I64"/>
    <hyperlink r:id="rId115" ref="E65"/>
    <hyperlink r:id="rId116" ref="I65"/>
    <hyperlink r:id="rId117" ref="E66"/>
    <hyperlink r:id="rId118" ref="I66"/>
    <hyperlink r:id="rId119" ref="E67"/>
    <hyperlink r:id="rId120" ref="I67"/>
    <hyperlink r:id="rId121" ref="E68"/>
    <hyperlink r:id="rId122" ref="I68"/>
    <hyperlink r:id="rId123" ref="E69"/>
    <hyperlink r:id="rId124" ref="I69"/>
    <hyperlink r:id="rId125" ref="E70"/>
    <hyperlink r:id="rId126" ref="I70"/>
    <hyperlink r:id="rId127" ref="E71"/>
    <hyperlink r:id="rId128" ref="I71"/>
    <hyperlink r:id="rId129" ref="E72"/>
    <hyperlink r:id="rId130" ref="I72"/>
    <hyperlink r:id="rId131" ref="E73"/>
    <hyperlink r:id="rId132" ref="I73"/>
    <hyperlink r:id="rId133" ref="J73"/>
    <hyperlink r:id="rId134" ref="I74"/>
    <hyperlink r:id="rId135" ref="E75"/>
    <hyperlink r:id="rId136" ref="J75"/>
    <hyperlink r:id="rId137" ref="E76"/>
    <hyperlink r:id="rId138" ref="I76"/>
    <hyperlink r:id="rId139" ref="E77"/>
    <hyperlink r:id="rId140" ref="I77"/>
    <hyperlink r:id="rId141" ref="E78"/>
    <hyperlink r:id="rId142" ref="I78"/>
    <hyperlink r:id="rId143" ref="E79"/>
    <hyperlink r:id="rId144" ref="I79"/>
    <hyperlink r:id="rId145" ref="E80"/>
    <hyperlink r:id="rId146" ref="I80"/>
    <hyperlink r:id="rId147" ref="J80"/>
    <hyperlink r:id="rId148" ref="E81"/>
    <hyperlink r:id="rId149" ref="I81"/>
    <hyperlink r:id="rId150" ref="E83"/>
    <hyperlink r:id="rId151" ref="E86"/>
    <hyperlink r:id="rId152" ref="E91"/>
    <hyperlink r:id="rId153" ref="I91"/>
    <hyperlink r:id="rId154" ref="I92"/>
    <hyperlink r:id="rId155" ref="E93"/>
    <hyperlink r:id="rId156" ref="J94"/>
    <hyperlink r:id="rId157" ref="E95"/>
    <hyperlink r:id="rId158" ref="J96"/>
    <hyperlink r:id="rId159" ref="I97"/>
    <hyperlink r:id="rId160" ref="E100"/>
    <hyperlink r:id="rId161" ref="E102"/>
  </hyperlinks>
  <drawing r:id="rId162"/>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5.0"/>
    <col customWidth="1" min="5" max="5" width="82.63"/>
    <col customWidth="1" min="6" max="6" width="15.63"/>
    <col customWidth="1" min="7" max="7" width="30.25"/>
    <col customWidth="1" min="8" max="8" width="29.5"/>
    <col customWidth="1" min="9" max="9" width="36.38"/>
    <col customWidth="1" min="10" max="10" width="30.5"/>
  </cols>
  <sheetData>
    <row r="1">
      <c r="A1" s="189" t="str">
        <f>IFERROR(__xludf.DUMMYFUNCTION("importrange(""https://docs.google.com/spreadsheets/d/1XeruygnOJdIYxM-EtikpWMUzrxuLoU7kgpg_C7O8X_Q/edit#gid=1867656706"",""CE-JOGOS!A1:J150"")"),"TOP")</f>
        <v>TOP</v>
      </c>
      <c r="B1" s="189" t="str">
        <f>IFERROR(__xludf.DUMMYFUNCTION("""COMPUTED_VALUE"""),"SIGLA")</f>
        <v>SIGLA</v>
      </c>
      <c r="C1" s="189" t="str">
        <f>IFERROR(__xludf.DUMMYFUNCTION("""COMPUTED_VALUE"""),"NOME")</f>
        <v>NOME</v>
      </c>
      <c r="D1" s="189" t="str">
        <f>IFERROR(__xludf.DUMMYFUNCTION("""COMPUTED_VALUE"""),"H5")</f>
        <v>H5</v>
      </c>
      <c r="E1" s="189" t="str">
        <f>IFERROR(__xludf.DUMMYFUNCTION("""COMPUTED_VALUE"""),"GOOGLE METRICS LINK")</f>
        <v>GOOGLE METRICS LINK</v>
      </c>
      <c r="F1" s="189" t="str">
        <f>IFERROR(__xludf.DUMMYFUNCTION("""COMPUTED_VALUE"""),"Nova Sigla")</f>
        <v>Nova Sigla</v>
      </c>
      <c r="G1" s="190" t="str">
        <f>IFERROR(__xludf.DUMMYFUNCTION("""COMPUTED_VALUE"""),"Novo Nome")</f>
        <v>Novo Nome</v>
      </c>
      <c r="H1" s="190" t="str">
        <f>IFERROR(__xludf.DUMMYFUNCTION("""COMPUTED_VALUE"""),"Nome Alternativo")</f>
        <v>Nome Alternativo</v>
      </c>
      <c r="I1" s="190" t="str">
        <f>IFERROR(__xludf.DUMMYFUNCTION("""COMPUTED_VALUE"""),"Link da DBLP")</f>
        <v>Link da DBLP</v>
      </c>
      <c r="J1" s="190" t="str">
        <f>IFERROR(__xludf.DUMMYFUNCTION("""COMPUTED_VALUE"""),"Link da SOL")</f>
        <v>Link da SOL</v>
      </c>
      <c r="K1" s="2"/>
      <c r="L1" s="2"/>
      <c r="M1" s="2"/>
      <c r="N1" s="2"/>
      <c r="O1" s="2"/>
      <c r="P1" s="2"/>
      <c r="Q1" s="2"/>
      <c r="R1" s="2"/>
      <c r="S1" s="2"/>
      <c r="T1" s="2"/>
      <c r="U1" s="2"/>
      <c r="V1" s="2"/>
      <c r="W1" s="2"/>
      <c r="X1" s="2"/>
      <c r="Y1" s="2"/>
      <c r="Z1" s="2"/>
    </row>
    <row r="2">
      <c r="A2" s="191" t="str">
        <f>IFERROR(__xludf.DUMMYFUNCTION("""COMPUTED_VALUE"""),"Top 10")</f>
        <v>Top 10</v>
      </c>
      <c r="B2" s="192" t="str">
        <f>IFERROR(__xludf.DUMMYFUNCTION("""COMPUTED_VALUE"""),"CHIPlay")</f>
        <v>CHIPlay</v>
      </c>
      <c r="C2" s="192" t="str">
        <f>IFERROR(__xludf.DUMMYFUNCTION("""COMPUTED_VALUE"""),"ACM Annual Symposium on Computer-Human Interaction in Play")</f>
        <v>ACM Annual Symposium on Computer-Human Interaction in Play</v>
      </c>
      <c r="D2">
        <f>IFERROR(__xludf.DUMMYFUNCTION("""COMPUTED_VALUE"""),31.0)</f>
        <v>31</v>
      </c>
      <c r="E2" s="193" t="str">
        <f>IFERROR(__xludf.DUMMYFUNCTION("""COMPUTED_VALUE"""),"https://scholar.google.com.br/citations?hl=pt-BR&amp;view_op=search_venues&amp;vq=Annual+Symposium+on+Computer-Human+Interaction+in+Play&amp;btnG=")</f>
        <v>https://scholar.google.com.br/citations?hl=pt-BR&amp;view_op=search_venues&amp;vq=Annual+Symposium+on+Computer-Human+Interaction+in+Play&amp;btnG=</v>
      </c>
      <c r="I2" s="60" t="str">
        <f>IFERROR(__xludf.DUMMYFUNCTION("""COMPUTED_VALUE"""),"https://dblp.org/db/conf/chiplay/index.html")</f>
        <v>https://dblp.org/db/conf/chiplay/index.html</v>
      </c>
    </row>
    <row r="3">
      <c r="A3" s="191" t="str">
        <f>IFERROR(__xludf.DUMMYFUNCTION("""COMPUTED_VALUE"""),"Top 10")</f>
        <v>Top 10</v>
      </c>
      <c r="B3" s="192" t="str">
        <f>IFERROR(__xludf.DUMMYFUNCTION("""COMPUTED_VALUE"""),"CoG")</f>
        <v>CoG</v>
      </c>
      <c r="C3" s="192" t="str">
        <f>IFERROR(__xludf.DUMMYFUNCTION("""COMPUTED_VALUE""")," IEEE Conference on Games")</f>
        <v> IEEE Conference on Games</v>
      </c>
      <c r="D3">
        <f>IFERROR(__xludf.DUMMYFUNCTION("""COMPUTED_VALUE"""),31.0)</f>
        <v>31</v>
      </c>
      <c r="E3" s="193" t="str">
        <f>IFERROR(__xludf.DUMMYFUNCTION("""COMPUTED_VALUE"""),"https://scholar.google.com.br/citations?hl=pt-BR&amp;view_op=search_venues&amp;vq=IEEE+Conference+on+Computational+Intelligence+and+Games&amp;btnG=")</f>
        <v>https://scholar.google.com.br/citations?hl=pt-BR&amp;view_op=search_venues&amp;vq=IEEE+Conference+on+Computational+Intelligence+and+Games&amp;btnG=</v>
      </c>
      <c r="F3" t="str">
        <f>IFERROR(__xludf.DUMMYFUNCTION("""COMPUTED_VALUE"""),"CoG")</f>
        <v>CoG</v>
      </c>
      <c r="G3" t="str">
        <f>IFERROR(__xludf.DUMMYFUNCTION("""COMPUTED_VALUE"""),"Conference on Games")</f>
        <v>Conference on Games</v>
      </c>
      <c r="I3" s="60" t="str">
        <f>IFERROR(__xludf.DUMMYFUNCTION("""COMPUTED_VALUE"""),"https://dblp.org/db/conf/cig/index.html")</f>
        <v>https://dblp.org/db/conf/cig/index.html</v>
      </c>
    </row>
    <row r="4">
      <c r="A4" s="191" t="str">
        <f>IFERROR(__xludf.DUMMYFUNCTION("""COMPUTED_VALUE"""),"Top 10")</f>
        <v>Top 10</v>
      </c>
      <c r="B4" s="192" t="str">
        <f>IFERROR(__xludf.DUMMYFUNCTION("""COMPUTED_VALUE"""),"FDG")</f>
        <v>FDG</v>
      </c>
      <c r="C4" s="192" t="str">
        <f>IFERROR(__xludf.DUMMYFUNCTION("""COMPUTED_VALUE"""),"International Conference on the Foundations of Digital Games")</f>
        <v>International Conference on the Foundations of Digital Games</v>
      </c>
      <c r="D4">
        <f>IFERROR(__xludf.DUMMYFUNCTION("""COMPUTED_VALUE"""),25.0)</f>
        <v>25</v>
      </c>
      <c r="E4" s="193" t="str">
        <f>IFERROR(__xludf.DUMMYFUNCTION("""COMPUTED_VALUE"""),"https://scholar.google.com.br/citations?hl=pt-BR&amp;view_op=search_venues&amp;vq=Foundations+of+digital+games&amp;btnG=")</f>
        <v>https://scholar.google.com.br/citations?hl=pt-BR&amp;view_op=search_venues&amp;vq=Foundations+of+digital+games&amp;btnG=</v>
      </c>
      <c r="G4" t="str">
        <f>IFERROR(__xludf.DUMMYFUNCTION("""COMPUTED_VALUE"""),"International Conference on the Foundations of Digital Games")</f>
        <v>International Conference on the Foundations of Digital Games</v>
      </c>
      <c r="I4" s="60" t="str">
        <f>IFERROR(__xludf.DUMMYFUNCTION("""COMPUTED_VALUE"""),"https://dblp.org/db/conf/fdg/index.html")</f>
        <v>https://dblp.org/db/conf/fdg/index.html</v>
      </c>
    </row>
    <row r="5">
      <c r="A5" s="191" t="str">
        <f>IFERROR(__xludf.DUMMYFUNCTION("""COMPUTED_VALUE"""),"Top 10")</f>
        <v>Top 10</v>
      </c>
      <c r="B5" s="192" t="str">
        <f>IFERROR(__xludf.DUMMYFUNCTION("""COMPUTED_VALUE"""),"IVA")</f>
        <v>IVA</v>
      </c>
      <c r="C5" s="192" t="str">
        <f>IFERROR(__xludf.DUMMYFUNCTION("""COMPUTED_VALUE"""),"Intelligent Virtual Agents")</f>
        <v>Intelligent Virtual Agents</v>
      </c>
      <c r="D5">
        <f>IFERROR(__xludf.DUMMYFUNCTION("""COMPUTED_VALUE"""),23.0)</f>
        <v>23</v>
      </c>
      <c r="E5" s="193" t="str">
        <f>IFERROR(__xludf.DUMMYFUNCTION("""COMPUTED_VALUE"""),"https://scholar.google.com.br/citations?hl=pt-BR&amp;view_op=search_venues&amp;vq=Intelligent+virtual+agents&amp;btnG=")</f>
        <v>https://scholar.google.com.br/citations?hl=pt-BR&amp;view_op=search_venues&amp;vq=Intelligent+virtual+agents&amp;btnG=</v>
      </c>
      <c r="I5" s="60" t="str">
        <f>IFERROR(__xludf.DUMMYFUNCTION("""COMPUTED_VALUE"""),"https://dblp.org/db/conf/iva/index.html")</f>
        <v>https://dblp.org/db/conf/iva/index.html</v>
      </c>
    </row>
    <row r="6">
      <c r="A6" s="191" t="str">
        <f>IFERROR(__xludf.DUMMYFUNCTION("""COMPUTED_VALUE"""),"Top 10")</f>
        <v>Top 10</v>
      </c>
      <c r="B6" s="192" t="str">
        <f>IFERROR(__xludf.DUMMYFUNCTION("""COMPUTED_VALUE"""),"AIIDE")</f>
        <v>AIIDE</v>
      </c>
      <c r="C6" s="192" t="str">
        <f>IFERROR(__xludf.DUMMYFUNCTION("""COMPUTED_VALUE"""),"AAAI Conference on Artificial Intelligence and Interactive Digital Entertainment ")</f>
        <v>AAAI Conference on Artificial Intelligence and Interactive Digital Entertainment </v>
      </c>
      <c r="D6">
        <f>IFERROR(__xludf.DUMMYFUNCTION("""COMPUTED_VALUE"""),21.0)</f>
        <v>21</v>
      </c>
      <c r="E6" s="193" t="str">
        <f>IFERROR(__xludf.DUMMYFUNCTION("""COMPUTED_VALUE"""),"https://scholar.google.com.br/citations?hl=pt-BR&amp;view_op=search_venues&amp;vq=artificial+intelligence+and+interactive+digital+entertainment+conference&amp;btnG=")</f>
        <v>https://scholar.google.com.br/citations?hl=pt-BR&amp;view_op=search_venues&amp;vq=artificial+intelligence+and+interactive+digital+entertainment+conference&amp;btnG=</v>
      </c>
      <c r="I6" s="60" t="str">
        <f>IFERROR(__xludf.DUMMYFUNCTION("""COMPUTED_VALUE"""),"https://dblp.org/db/conf/aiide/index.html")</f>
        <v>https://dblp.org/db/conf/aiide/index.html</v>
      </c>
    </row>
    <row r="7">
      <c r="A7" s="191" t="str">
        <f>IFERROR(__xludf.DUMMYFUNCTION("""COMPUTED_VALUE"""),"Top 10")</f>
        <v>Top 10</v>
      </c>
      <c r="B7" s="192" t="str">
        <f>IFERROR(__xludf.DUMMYFUNCTION("""COMPUTED_VALUE"""),"MIG")</f>
        <v>MIG</v>
      </c>
      <c r="C7" s="192" t="str">
        <f>IFERROR(__xludf.DUMMYFUNCTION("""COMPUTED_VALUE"""),"ACM SIGGRAPH Conference on Motion, Interaction and Games")</f>
        <v>ACM SIGGRAPH Conference on Motion, Interaction and Games</v>
      </c>
      <c r="D7">
        <f>IFERROR(__xludf.DUMMYFUNCTION("""COMPUTED_VALUE"""),17.0)</f>
        <v>17</v>
      </c>
      <c r="E7" s="193" t="str">
        <f>IFERROR(__xludf.DUMMYFUNCTION("""COMPUTED_VALUE"""),"https://scholar.google.com.br/citations?hl=pt-BR&amp;view_op=search_venues&amp;vq=Conference+on+Motion%2C+Interaction+and+Games&amp;btnG=")</f>
        <v>https://scholar.google.com.br/citations?hl=pt-BR&amp;view_op=search_venues&amp;vq=Conference+on+Motion%2C+Interaction+and+Games&amp;btnG=</v>
      </c>
      <c r="G7" t="str">
        <f>IFERROR(__xludf.DUMMYFUNCTION("""COMPUTED_VALUE"""),"Motion, Interaction and Games")</f>
        <v>Motion, Interaction and Games</v>
      </c>
      <c r="I7" s="60" t="str">
        <f>IFERROR(__xludf.DUMMYFUNCTION("""COMPUTED_VALUE"""),"https://dblp.org/db/conf/mig/index.html")</f>
        <v>https://dblp.org/db/conf/mig/index.html</v>
      </c>
    </row>
    <row r="8">
      <c r="A8" s="191" t="str">
        <f>IFERROR(__xludf.DUMMYFUNCTION("""COMPUTED_VALUE"""),"Top 10")</f>
        <v>Top 10</v>
      </c>
      <c r="B8" s="192" t="str">
        <f>IFERROR(__xludf.DUMMYFUNCTION("""COMPUTED_VALUE"""),"SeGAH")</f>
        <v>SeGAH</v>
      </c>
      <c r="C8" s="192" t="str">
        <f>IFERROR(__xludf.DUMMYFUNCTION("""COMPUTED_VALUE"""),"IEEE International Conference on Serious Games and Applications for Health")</f>
        <v>IEEE International Conference on Serious Games and Applications for Health</v>
      </c>
      <c r="D8">
        <f>IFERROR(__xludf.DUMMYFUNCTION("""COMPUTED_VALUE"""),16.0)</f>
        <v>16</v>
      </c>
      <c r="E8" s="193" t="str">
        <f>IFERROR(__xludf.DUMMYFUNCTION("""COMPUTED_VALUE"""),"https://scholar.google.com.br/citations?hl=pt-BR&amp;view_op=search_venues&amp;vq=International+Conference+on+Serious+Games+and+Applications+for+Health+%28SeGAH%29&amp;btnG=")</f>
        <v>https://scholar.google.com.br/citations?hl=pt-BR&amp;view_op=search_venues&amp;vq=International+Conference+on+Serious+Games+and+Applications+for+Health+%28SeGAH%29&amp;btnG=</v>
      </c>
      <c r="I8" s="60" t="str">
        <f>IFERROR(__xludf.DUMMYFUNCTION("""COMPUTED_VALUE"""),"https://dblp.org/db/conf/segah/index.html")</f>
        <v>https://dblp.org/db/conf/segah/index.html</v>
      </c>
    </row>
    <row r="9">
      <c r="A9" s="191" t="str">
        <f>IFERROR(__xludf.DUMMYFUNCTION("""COMPUTED_VALUE"""),"Top 10")</f>
        <v>Top 10</v>
      </c>
      <c r="B9" s="192" t="str">
        <f>IFERROR(__xludf.DUMMYFUNCTION("""COMPUTED_VALUE"""),"i3D")</f>
        <v>i3D</v>
      </c>
      <c r="C9" s="192" t="str">
        <f>IFERROR(__xludf.DUMMYFUNCTION("""COMPUTED_VALUE"""),"ACM Symposium on Interactive 3D Graphics and Games")</f>
        <v>ACM Symposium on Interactive 3D Graphics and Games</v>
      </c>
      <c r="D9" s="192" t="str">
        <f>IFERROR(__xludf.DUMMYFUNCTION("""COMPUTED_VALUE"""),"15")</f>
        <v>15</v>
      </c>
      <c r="E9" s="193" t="str">
        <f>IFERROR(__xludf.DUMMYFUNCTION("""COMPUTED_VALUE"""),"https://scholar.google.com.br/citations?hl=pt-BR&amp;view_op=search_venues&amp;vq=Proceedings+of+the+ACM+on+Computer+Graphics+and+Interactive+Techniques&amp;btnG=")</f>
        <v>https://scholar.google.com.br/citations?hl=pt-BR&amp;view_op=search_venues&amp;vq=Proceedings+of+the+ACM+on+Computer+Graphics+and+Interactive+Techniques&amp;btnG=</v>
      </c>
      <c r="F9" t="str">
        <f>IFERROR(__xludf.DUMMYFUNCTION("""COMPUTED_VALUE"""),"i3D")</f>
        <v>i3D</v>
      </c>
      <c r="I9" s="60" t="str">
        <f>IFERROR(__xludf.DUMMYFUNCTION("""COMPUTED_VALUE"""),"https://dblp.org/db/conf/si3d/index.html")</f>
        <v>https://dblp.org/db/conf/si3d/index.html</v>
      </c>
    </row>
    <row r="10">
      <c r="A10" s="191" t="str">
        <f>IFERROR(__xludf.DUMMYFUNCTION("""COMPUTED_VALUE"""),"Top 10")</f>
        <v>Top 10</v>
      </c>
      <c r="B10" s="192" t="str">
        <f>IFERROR(__xludf.DUMMYFUNCTION("""COMPUTED_VALUE"""),"ICIDS")</f>
        <v>ICIDS</v>
      </c>
      <c r="C10" s="192" t="str">
        <f>IFERROR(__xludf.DUMMYFUNCTION("""COMPUTED_VALUE"""),"International Conference on Interactive Digital Storytelling")</f>
        <v>International Conference on Interactive Digital Storytelling</v>
      </c>
      <c r="D10">
        <f>IFERROR(__xludf.DUMMYFUNCTION("""COMPUTED_VALUE"""),14.0)</f>
        <v>14</v>
      </c>
      <c r="E10" s="193" t="str">
        <f>IFERROR(__xludf.DUMMYFUNCTION("""COMPUTED_VALUE"""),"https://scholar.google.es/citations?hl=en&amp;view_op=search_venues&amp;vq=International+conference+on+interactive+digital+storytelling&amp;btnG=")</f>
        <v>https://scholar.google.es/citations?hl=en&amp;view_op=search_venues&amp;vq=International+conference+on+interactive+digital+storytelling&amp;btnG=</v>
      </c>
      <c r="I10" s="60" t="str">
        <f>IFERROR(__xludf.DUMMYFUNCTION("""COMPUTED_VALUE"""),"https://dblp.org/db/conf/icids/index.html")</f>
        <v>https://dblp.org/db/conf/icids/index.html</v>
      </c>
    </row>
    <row r="11">
      <c r="A11" s="191" t="str">
        <f>IFERROR(__xludf.DUMMYFUNCTION("""COMPUTED_VALUE"""),"Top 10")</f>
        <v>Top 10</v>
      </c>
      <c r="B11" s="192" t="str">
        <f>IFERROR(__xludf.DUMMYFUNCTION("""COMPUTED_VALUE"""),"ICEC")</f>
        <v>ICEC</v>
      </c>
      <c r="C11" s="192" t="str">
        <f>IFERROR(__xludf.DUMMYFUNCTION("""COMPUTED_VALUE"""),"IFIP International Conference on Entertainment Computing")</f>
        <v>IFIP International Conference on Entertainment Computing</v>
      </c>
      <c r="D11">
        <f>IFERROR(__xludf.DUMMYFUNCTION("""COMPUTED_VALUE"""),11.0)</f>
        <v>11</v>
      </c>
      <c r="E11" s="193" t="str">
        <f>IFERROR(__xludf.DUMMYFUNCTION("""COMPUTED_VALUE"""),"https://scholar.google.com.br/citations?hl=pt-BR&amp;view_op=search_venues&amp;vq=International+Conference+on+Entertainment+Computing&amp;btnG=")</f>
        <v>https://scholar.google.com.br/citations?hl=pt-BR&amp;view_op=search_venues&amp;vq=International+Conference+on+Entertainment+Computing&amp;btnG=</v>
      </c>
      <c r="I11" s="60" t="str">
        <f>IFERROR(__xludf.DUMMYFUNCTION("""COMPUTED_VALUE"""),"https://dblp.org/db/conf/iwec/index.html")</f>
        <v>https://dblp.org/db/conf/iwec/index.html</v>
      </c>
    </row>
    <row r="12">
      <c r="A12" s="194" t="str">
        <f>IFERROR(__xludf.DUMMYFUNCTION("""COMPUTED_VALUE"""),"Top 10")</f>
        <v>Top 10</v>
      </c>
      <c r="B12" s="192" t="str">
        <f>IFERROR(__xludf.DUMMYFUNCTION("""COMPUTED_VALUE"""),"SBGames")</f>
        <v>SBGames</v>
      </c>
      <c r="C12" s="195" t="str">
        <f>IFERROR(__xludf.DUMMYFUNCTION("""COMPUTED_VALUE"""),"Brazilian Symposium on Games and Digital Entertainment")</f>
        <v>Brazilian Symposium on Games and Digital Entertainment</v>
      </c>
      <c r="D12">
        <f>IFERROR(__xludf.DUMMYFUNCTION("""COMPUTED_VALUE"""),10.0)</f>
        <v>10</v>
      </c>
      <c r="E12" s="193" t="str">
        <f>IFERROR(__xludf.DUMMYFUNCTION("""COMPUTED_VALUE"""),"https://scholar.google.com/citations?hl=en&amp;view_op=search_venues&amp;vq=brazilian+symposium+on+games+and+digital+entertainment&amp;btnG=")</f>
        <v>https://scholar.google.com/citations?hl=en&amp;view_op=search_venues&amp;vq=brazilian+symposium+on+games+and+digital+entertainment&amp;btnG=</v>
      </c>
      <c r="H12" t="str">
        <f>IFERROR(__xludf.DUMMYFUNCTION("""COMPUTED_VALUE"""),"Simpósio Brasileiro de Jogos e Entretenimento Digital")</f>
        <v>Simpósio Brasileiro de Jogos e Entretenimento Digital</v>
      </c>
      <c r="I12" s="60" t="str">
        <f>IFERROR(__xludf.DUMMYFUNCTION("""COMPUTED_VALUE"""),"https://dblp.org/db/conf/sbgames/index.html")</f>
        <v>https://dblp.org/db/conf/sbgames/index.html</v>
      </c>
      <c r="J12" s="60" t="str">
        <f>IFERROR(__xludf.DUMMYFUNCTION("""COMPUTED_VALUE"""),"https://sol.sbc.org.br/index.php/sbgames")</f>
        <v>https://sol.sbc.org.br/index.php/sbgames</v>
      </c>
    </row>
    <row r="13">
      <c r="A13" s="194" t="str">
        <f>IFERROR(__xludf.DUMMYFUNCTION("""COMPUTED_VALUE"""),"Top 20")</f>
        <v>Top 20</v>
      </c>
      <c r="B13" s="192" t="str">
        <f>IFERROR(__xludf.DUMMYFUNCTION("""COMPUTED_VALUE"""),"CASA")</f>
        <v>CASA</v>
      </c>
      <c r="C13" s="192" t="str">
        <f>IFERROR(__xludf.DUMMYFUNCTION("""COMPUTED_VALUE"""),"International Conference on Computer Animation and Social Agents")</f>
        <v>International Conference on Computer Animation and Social Agents</v>
      </c>
      <c r="D13">
        <f>IFERROR(__xludf.DUMMYFUNCTION("""COMPUTED_VALUE"""),17.0)</f>
        <v>17</v>
      </c>
      <c r="E13" s="193" t="str">
        <f>IFERROR(__xludf.DUMMYFUNCTION("""COMPUTED_VALUE"""),"https://scholar.google.com.br/citations?hl=pt-BR&amp;view_op=search_venues&amp;vq=computer++animation+and+virtual+worlds&amp;btnG=")</f>
        <v>https://scholar.google.com.br/citations?hl=pt-BR&amp;view_op=search_venues&amp;vq=computer++animation+and+virtual+worlds&amp;btnG=</v>
      </c>
      <c r="I13" s="60" t="str">
        <f>IFERROR(__xludf.DUMMYFUNCTION("""COMPUTED_VALUE"""),"https://dblp.org/db/conf/ca/index.html")</f>
        <v>https://dblp.org/db/conf/ca/index.html</v>
      </c>
    </row>
    <row r="14">
      <c r="A14" s="194" t="str">
        <f>IFERROR(__xludf.DUMMYFUNCTION("""COMPUTED_VALUE"""),"Top 20")</f>
        <v>Top 20</v>
      </c>
      <c r="B14" s="192" t="str">
        <f>IFERROR(__xludf.DUMMYFUNCTION("""COMPUTED_VALUE"""),"DiGRA")</f>
        <v>DiGRA</v>
      </c>
      <c r="C14" s="192" t="str">
        <f>IFERROR(__xludf.DUMMYFUNCTION("""COMPUTED_VALUE"""),"Digital Games Research Association International Conference")</f>
        <v>Digital Games Research Association International Conference</v>
      </c>
      <c r="D14" s="192" t="str">
        <f>IFERROR(__xludf.DUMMYFUNCTION("""COMPUTED_VALUE"""),"15")</f>
        <v>15</v>
      </c>
      <c r="E14" s="193" t="str">
        <f>IFERROR(__xludf.DUMMYFUNCTION("""COMPUTED_VALUE"""),"https://scholar.google.com.br/citations?hl=pt-BR&amp;view_op=list_hcore&amp;venue=3NcCD_2kgFYJ.2024")</f>
        <v>https://scholar.google.com.br/citations?hl=pt-BR&amp;view_op=list_hcore&amp;venue=3NcCD_2kgFYJ.2024</v>
      </c>
      <c r="H14" t="str">
        <f>IFERROR(__xludf.DUMMYFUNCTION("""COMPUTED_VALUE"""),"DiGRA International Conference")</f>
        <v>DiGRA International Conference</v>
      </c>
      <c r="I14" s="60" t="str">
        <f>IFERROR(__xludf.DUMMYFUNCTION("""COMPUTED_VALUE"""),"https://dblp.org/db/conf/digra/index.html")</f>
        <v>https://dblp.org/db/conf/digra/index.html</v>
      </c>
    </row>
    <row r="15">
      <c r="A15" s="194" t="str">
        <f>IFERROR(__xludf.DUMMYFUNCTION("""COMPUTED_VALUE"""),"Top 20")</f>
        <v>Top 20</v>
      </c>
      <c r="B15" s="192" t="str">
        <f>IFERROR(__xludf.DUMMYFUNCTION("""COMPUTED_VALUE"""),"GEM")</f>
        <v>GEM</v>
      </c>
      <c r="C15" s="192" t="str">
        <f>IFERROR(__xludf.DUMMYFUNCTION("""COMPUTED_VALUE"""),"IEEE Games, Entertainment, Media Conference")</f>
        <v>IEEE Games, Entertainment, Media Conference</v>
      </c>
      <c r="D15">
        <f>IFERROR(__xludf.DUMMYFUNCTION("""COMPUTED_VALUE"""),4.0)</f>
        <v>4</v>
      </c>
      <c r="E15" s="193" t="str">
        <f>IFERROR(__xludf.DUMMYFUNCTION("""COMPUTED_VALUE"""),"https://scholar.google.com/scholar?as_q=&amp;as_epq=&amp;as_oq=&amp;as_eq=&amp;as_occt=any&amp;as_sauthors=&amp;as_publication=IEEE+Games%2C+Entertainment%2C+Media+Conference&amp;as_ylo=2020&amp;as_yhi=2024&amp;hl=en&amp;as_sdt=0%2C5")</f>
        <v>https://scholar.google.com/scholar?as_q=&amp;as_epq=&amp;as_oq=&amp;as_eq=&amp;as_occt=any&amp;as_sauthors=&amp;as_publication=IEEE+Games%2C+Entertainment%2C+Media+Conference&amp;as_ylo=2020&amp;as_yhi=2024&amp;hl=en&amp;as_sdt=0%2C5</v>
      </c>
      <c r="I15" s="60" t="str">
        <f>IFERROR(__xludf.DUMMYFUNCTION("""COMPUTED_VALUE"""),"https://dblp.org/db/conf/gamesem/index.html")</f>
        <v>https://dblp.org/db/conf/gamesem/index.html</v>
      </c>
    </row>
    <row r="16">
      <c r="A16" s="194" t="str">
        <f>IFERROR(__xludf.DUMMYFUNCTION("""COMPUTED_VALUE"""),"Top 20")</f>
        <v>Top 20</v>
      </c>
      <c r="B16" s="192" t="str">
        <f>IFERROR(__xludf.DUMMYFUNCTION("""COMPUTED_VALUE"""),"VS-Games")</f>
        <v>VS-Games</v>
      </c>
      <c r="C16" s="192" t="str">
        <f>IFERROR(__xludf.DUMMYFUNCTION("""COMPUTED_VALUE"""),"International Conference on Virtual Worlds and Games for Serious Applications")</f>
        <v>International Conference on Virtual Worlds and Games for Serious Applications</v>
      </c>
      <c r="D16" s="192" t="str">
        <f>IFERROR(__xludf.DUMMYFUNCTION("""COMPUTED_VALUE"""),"9 ")</f>
        <v>9 </v>
      </c>
      <c r="E16" s="193" t="str">
        <f>IFERROR(__xludf.DUMMYFUNCTION("""COMPUTED_VALUE"""),"https://scholar.google.com.br/citations?hl=pt-BR&amp;view_op=list_hcore&amp;venue=GW3dXd7lzJ8J.2019")</f>
        <v>https://scholar.google.com.br/citations?hl=pt-BR&amp;view_op=list_hcore&amp;venue=GW3dXd7lzJ8J.2019</v>
      </c>
      <c r="H16" t="str">
        <f>IFERROR(__xludf.DUMMYFUNCTION("""COMPUTED_VALUE"""),"Foi incorporada pela IEEE CoG H5 31")</f>
        <v>Foi incorporada pela IEEE CoG H5 31</v>
      </c>
      <c r="I16" s="60" t="str">
        <f>IFERROR(__xludf.DUMMYFUNCTION("""COMPUTED_VALUE"""),"https://dblp.org/db/conf/vsgames/index.html")</f>
        <v>https://dblp.org/db/conf/vsgames/index.html</v>
      </c>
    </row>
    <row r="17">
      <c r="A17" s="194" t="str">
        <f>IFERROR(__xludf.DUMMYFUNCTION("""COMPUTED_VALUE"""),"Top 20")</f>
        <v>Top 20</v>
      </c>
      <c r="B17" t="str">
        <f>IFERROR(__xludf.DUMMYFUNCTION("""COMPUTED_VALUE"""),"SBGames*")</f>
        <v>SBGames*</v>
      </c>
      <c r="C17" s="192" t="str">
        <f>IFERROR(__xludf.DUMMYFUNCTION("""COMPUTED_VALUE"""),"Anais Estendidos do Simpósio Brasileiro de Jogos e Entretenimento Digital")</f>
        <v>Anais Estendidos do Simpósio Brasileiro de Jogos e Entretenimento Digital</v>
      </c>
      <c r="D17">
        <f>IFERROR(__xludf.DUMMYFUNCTION("""COMPUTED_VALUE"""),6.0)</f>
        <v>6</v>
      </c>
      <c r="E17" s="147" t="str">
        <f>IFERROR(__xludf.DUMMYFUNCTION("""COMPUTED_VALUE"""),"https://scholar.google.com/citations?hl=en&amp;view_op=search_venues&amp;vq=Anais+Estendidos+do+Simp%C3%B3sio+Brasileiro+de+Jogos+e+Entretenimento+Digital&amp;btnG=")</f>
        <v>https://scholar.google.com/citations?hl=en&amp;view_op=search_venues&amp;vq=Anais+Estendidos+do+Simp%C3%B3sio+Brasileiro+de+Jogos+e+Entretenimento+Digital&amp;btnG=</v>
      </c>
      <c r="J17" s="60" t="str">
        <f>IFERROR(__xludf.DUMMYFUNCTION("""COMPUTED_VALUE"""),"https://sol.sbc.org.br/index.php/sbgames_estendido/issue/archive")</f>
        <v>https://sol.sbc.org.br/index.php/sbgames_estendido/issue/archive</v>
      </c>
    </row>
    <row r="18">
      <c r="A18" s="65" t="str">
        <f>IFERROR(__xludf.DUMMYFUNCTION("""COMPUTED_VALUE"""),"Top 20")</f>
        <v>Top 20</v>
      </c>
      <c r="B18" t="str">
        <f>IFERROR(__xludf.DUMMYFUNCTION("""COMPUTED_VALUE"""),"GAS")</f>
        <v>GAS</v>
      </c>
      <c r="C18" t="str">
        <f>IFERROR(__xludf.DUMMYFUNCTION("""COMPUTED_VALUE"""),"International Workshop on Games and Software Engineering ")</f>
        <v>International Workshop on Games and Software Engineering </v>
      </c>
      <c r="D18">
        <f>IFERROR(__xludf.DUMMYFUNCTION("""COMPUTED_VALUE"""),4.0)</f>
        <v>4</v>
      </c>
      <c r="E18" s="147" t="str">
        <f>IFERROR(__xludf.DUMMYFUNCTION("""COMPUTED_VALUE"""),"https://scholar.google.com/scholar?as_q=&amp;as_epq=&amp;as_oq=&amp;as_eq=&amp;as_occt=any&amp;as_sauthors=&amp;as_publication=Games+and+software+engineering&amp;as_ylo=2020&amp;as_yhi=2024&amp;hl=en&amp;as_sdt=0%2C5")</f>
        <v>https://scholar.google.com/scholar?as_q=&amp;as_epq=&amp;as_oq=&amp;as_eq=&amp;as_occt=any&amp;as_sauthors=&amp;as_publication=Games+and+software+engineering&amp;as_ylo=2020&amp;as_yhi=2024&amp;hl=en&amp;as_sdt=0%2C5</v>
      </c>
      <c r="I18" s="60" t="str">
        <f>IFERROR(__xludf.DUMMYFUNCTION("""COMPUTED_VALUE"""),"https://dblp.org/db/conf/icse-gas/index.html")</f>
        <v>https://dblp.org/db/conf/icse-gas/index.html</v>
      </c>
    </row>
    <row r="19">
      <c r="A19" s="65" t="str">
        <f>IFERROR(__xludf.DUMMYFUNCTION("""COMPUTED_VALUE"""),"Top 20")</f>
        <v>Top 20</v>
      </c>
      <c r="B19" t="str">
        <f>IFERROR(__xludf.DUMMYFUNCTION("""COMPUTED_VALUE"""),"FASE4Games")</f>
        <v>FASE4Games</v>
      </c>
      <c r="C19" t="str">
        <f>IFERROR(__xludf.DUMMYFUNCTION("""COMPUTED_VALUE"""),"Foundations of Applied Software Engineering for Games Workshop")</f>
        <v>Foundations of Applied Software Engineering for Games Workshop</v>
      </c>
      <c r="D19">
        <f>IFERROR(__xludf.DUMMYFUNCTION("""COMPUTED_VALUE"""),0.0)</f>
        <v>0</v>
      </c>
      <c r="E19" s="147" t="str">
        <f>IFERROR(__xludf.DUMMYFUNCTION("""COMPUTED_VALUE"""),"https://scholar.google.com/scholar?as_q=&amp;as_epq=&amp;as_oq=&amp;as_eq=&amp;as_occt=any&amp;as_sauthors=&amp;as_publication=Foundations+of+Applied+Software+Engineering+for+Games&amp;as_ylo=2020&amp;as_yhi=2024&amp;hl=en&amp;as_sdt=0%2C5")</f>
        <v>https://scholar.google.com/scholar?as_q=&amp;as_epq=&amp;as_oq=&amp;as_eq=&amp;as_occt=any&amp;as_sauthors=&amp;as_publication=Foundations+of+Applied+Software+Engineering+for+Games&amp;as_ylo=2020&amp;as_yhi=2024&amp;hl=en&amp;as_sdt=0%2C5</v>
      </c>
      <c r="H19" s="60" t="str">
        <f>IFERROR(__xludf.DUMMYFUNCTION("""COMPUTED_VALUE"""),"International Workshop on Foundations of Applied Software Engineering for Game")</f>
        <v>International Workshop on Foundations of Applied Software Engineering for Game</v>
      </c>
      <c r="I19" s="60" t="str">
        <f>IFERROR(__xludf.DUMMYFUNCTION("""COMPUTED_VALUE"""),"https://dblp.org/db/conf/fase4games/index.html")</f>
        <v>https://dblp.org/db/conf/fase4games/index.html</v>
      </c>
    </row>
    <row r="20">
      <c r="A20" s="65" t="str">
        <f>IFERROR(__xludf.DUMMYFUNCTION("""COMPUTED_VALUE"""),"Top 20")</f>
        <v>Top 20</v>
      </c>
      <c r="B20" t="str">
        <f>IFERROR(__xludf.DUMMYFUNCTION("""COMPUTED_VALUE"""),"GALA")</f>
        <v>GALA</v>
      </c>
      <c r="C20" s="192" t="str">
        <f>IFERROR(__xludf.DUMMYFUNCTION("""COMPUTED_VALUE"""),"Games and Learning Alliance Conference")</f>
        <v>Games and Learning Alliance Conference</v>
      </c>
      <c r="D20">
        <f>IFERROR(__xludf.DUMMYFUNCTION("""COMPUTED_VALUE"""),13.0)</f>
        <v>13</v>
      </c>
      <c r="E20" s="147" t="str">
        <f>IFERROR(__xludf.DUMMYFUNCTION("""COMPUTED_VALUE"""),"https://scholar.google.com/citations?hl=en&amp;view_op=search_venues&amp;vq=Games+and+Learning+Alliance+Conference&amp;btnG=")</f>
        <v>https://scholar.google.com/citations?hl=en&amp;view_op=search_venues&amp;vq=Games+and+Learning+Alliance+Conference&amp;btnG=</v>
      </c>
      <c r="I20" s="60" t="str">
        <f>IFERROR(__xludf.DUMMYFUNCTION("""COMPUTED_VALUE"""),"https://dblp.org/db/conf/gala/index.html")</f>
        <v>https://dblp.org/db/conf/gala/index.html</v>
      </c>
    </row>
    <row r="21">
      <c r="A21" s="65" t="str">
        <f>IFERROR(__xludf.DUMMYFUNCTION("""COMPUTED_VALUE"""),"Eventos da Área")</f>
        <v>Eventos da Área</v>
      </c>
      <c r="B21" s="192" t="str">
        <f>IFERROR(__xludf.DUMMYFUNCTION("""COMPUTED_VALUE"""),"Videojogos")</f>
        <v>Videojogos</v>
      </c>
      <c r="C21" s="192" t="str">
        <f>IFERROR(__xludf.DUMMYFUNCTION("""COMPUTED_VALUE"""),"International Conference on Videogame Sciences and Arts")</f>
        <v>International Conference on Videogame Sciences and Arts</v>
      </c>
      <c r="D21" s="192" t="str">
        <f>IFERROR(__xludf.DUMMYFUNCTION("""COMPUTED_VALUE"""),"4")</f>
        <v>4</v>
      </c>
      <c r="E21" s="193" t="str">
        <f>IFERROR(__xludf.DUMMYFUNCTION("""COMPUTED_VALUE"""),"https://scholar.google.com/scholar?as_q=&amp;as_epq=&amp;as_oq=&amp;as_eq=&amp;as_occt=any&amp;as_sauthors=&amp;as_publication=International+Conference+on+Videogame+Sciences+and+Arts&amp;as_ylo=2020&amp;as_yhi=2024&amp;hl=en&amp;as_sdt=0%2C5")</f>
        <v>https://scholar.google.com/scholar?as_q=&amp;as_epq=&amp;as_oq=&amp;as_eq=&amp;as_occt=any&amp;as_sauthors=&amp;as_publication=International+Conference+on+Videogame+Sciences+and+Arts&amp;as_ylo=2020&amp;as_yhi=2024&amp;hl=en&amp;as_sdt=0%2C5</v>
      </c>
      <c r="I21" t="str">
        <f>IFERROR(__xludf.DUMMYFUNCTION("""COMPUTED_VALUE"""),"??")</f>
        <v>??</v>
      </c>
    </row>
    <row r="22">
      <c r="A22" s="68" t="str">
        <f>IFERROR(__xludf.DUMMYFUNCTION("""COMPUTED_VALUE"""),"Eventos da Área")</f>
        <v>Eventos da Área</v>
      </c>
    </row>
    <row r="23">
      <c r="A23" s="68" t="str">
        <f>IFERROR(__xludf.DUMMYFUNCTION("""COMPUTED_VALUE"""),"Eventos da Área")</f>
        <v>Eventos da Área</v>
      </c>
    </row>
    <row r="24">
      <c r="A24" s="68" t="str">
        <f>IFERROR(__xludf.DUMMYFUNCTION("""COMPUTED_VALUE"""),"Eventos da Área")</f>
        <v>Eventos da Área</v>
      </c>
    </row>
    <row r="25">
      <c r="A25" s="68" t="str">
        <f>IFERROR(__xludf.DUMMYFUNCTION("""COMPUTED_VALUE"""),"Eventos da Área")</f>
        <v>Eventos da Área</v>
      </c>
    </row>
    <row r="26">
      <c r="A26" s="68" t="str">
        <f>IFERROR(__xludf.DUMMYFUNCTION("""COMPUTED_VALUE"""),"Eventos da Área")</f>
        <v>Eventos da Área</v>
      </c>
    </row>
    <row r="27">
      <c r="A27" s="68" t="str">
        <f>IFERROR(__xludf.DUMMYFUNCTION("""COMPUTED_VALUE"""),"Eventos da Área")</f>
        <v>Eventos da Área</v>
      </c>
    </row>
    <row r="28">
      <c r="A28" s="68" t="str">
        <f>IFERROR(__xludf.DUMMYFUNCTION("""COMPUTED_VALUE"""),"Eventos da Área")</f>
        <v>Eventos da Área</v>
      </c>
    </row>
    <row r="29">
      <c r="A29" s="68" t="str">
        <f>IFERROR(__xludf.DUMMYFUNCTION("""COMPUTED_VALUE"""),"Eventos da Área")</f>
        <v>Eventos da Área</v>
      </c>
    </row>
    <row r="30">
      <c r="A30" s="68" t="str">
        <f>IFERROR(__xludf.DUMMYFUNCTION("""COMPUTED_VALUE"""),"Eventos da Área")</f>
        <v>Eventos da Área</v>
      </c>
    </row>
    <row r="31">
      <c r="A31" s="68" t="str">
        <f>IFERROR(__xludf.DUMMYFUNCTION("""COMPUTED_VALUE"""),"Eventos da Área")</f>
        <v>Eventos da Área</v>
      </c>
    </row>
    <row r="32">
      <c r="A32" s="68" t="str">
        <f>IFERROR(__xludf.DUMMYFUNCTION("""COMPUTED_VALUE"""),"Eventos da Área")</f>
        <v>Eventos da Área</v>
      </c>
    </row>
    <row r="33">
      <c r="A33" s="68" t="str">
        <f>IFERROR(__xludf.DUMMYFUNCTION("""COMPUTED_VALUE"""),"Eventos da Área")</f>
        <v>Eventos da Área</v>
      </c>
    </row>
    <row r="34">
      <c r="A34" s="68" t="str">
        <f>IFERROR(__xludf.DUMMYFUNCTION("""COMPUTED_VALUE"""),"Eventos da Área")</f>
        <v>Eventos da Área</v>
      </c>
    </row>
    <row r="35">
      <c r="A35" s="68" t="str">
        <f>IFERROR(__xludf.DUMMYFUNCTION("""COMPUTED_VALUE"""),"Eventos da Área")</f>
        <v>Eventos da Área</v>
      </c>
    </row>
    <row r="36">
      <c r="A36" s="68" t="str">
        <f>IFERROR(__xludf.DUMMYFUNCTION("""COMPUTED_VALUE"""),"Eventos da Área")</f>
        <v>Eventos da Área</v>
      </c>
    </row>
    <row r="37">
      <c r="A37" s="68" t="str">
        <f>IFERROR(__xludf.DUMMYFUNCTION("""COMPUTED_VALUE"""),"Eventos da Área")</f>
        <v>Eventos da Área</v>
      </c>
    </row>
    <row r="38">
      <c r="A38" s="68" t="str">
        <f>IFERROR(__xludf.DUMMYFUNCTION("""COMPUTED_VALUE"""),"Eventos da Área")</f>
        <v>Eventos da Área</v>
      </c>
    </row>
    <row r="39">
      <c r="A39" s="68" t="str">
        <f>IFERROR(__xludf.DUMMYFUNCTION("""COMPUTED_VALUE"""),"Eventos da Área")</f>
        <v>Eventos da Área</v>
      </c>
    </row>
    <row r="40">
      <c r="A40" s="68" t="str">
        <f>IFERROR(__xludf.DUMMYFUNCTION("""COMPUTED_VALUE"""),"Eventos da Área")</f>
        <v>Eventos da Área</v>
      </c>
    </row>
    <row r="41">
      <c r="A41" s="68" t="str">
        <f>IFERROR(__xludf.DUMMYFUNCTION("""COMPUTED_VALUE"""),"Eventos da Área")</f>
        <v>Eventos da Área</v>
      </c>
    </row>
    <row r="42">
      <c r="A42" s="68" t="str">
        <f>IFERROR(__xludf.DUMMYFUNCTION("""COMPUTED_VALUE"""),"Eventos da Área")</f>
        <v>Eventos da Área</v>
      </c>
    </row>
    <row r="43">
      <c r="A43" s="68" t="str">
        <f>IFERROR(__xludf.DUMMYFUNCTION("""COMPUTED_VALUE"""),"Eventos da Área")</f>
        <v>Eventos da Área</v>
      </c>
    </row>
    <row r="44">
      <c r="A44" s="68" t="str">
        <f>IFERROR(__xludf.DUMMYFUNCTION("""COMPUTED_VALUE"""),"Eventos da Área")</f>
        <v>Eventos da Área</v>
      </c>
    </row>
    <row r="45">
      <c r="A45" s="68" t="str">
        <f>IFERROR(__xludf.DUMMYFUNCTION("""COMPUTED_VALUE"""),"Eventos da Área")</f>
        <v>Eventos da Área</v>
      </c>
    </row>
    <row r="46">
      <c r="A46" s="68" t="str">
        <f>IFERROR(__xludf.DUMMYFUNCTION("""COMPUTED_VALUE"""),"Eventos da Área")</f>
        <v>Eventos da Área</v>
      </c>
    </row>
    <row r="47">
      <c r="A47" s="68" t="str">
        <f>IFERROR(__xludf.DUMMYFUNCTION("""COMPUTED_VALUE"""),"Eventos da Área")</f>
        <v>Eventos da Área</v>
      </c>
    </row>
    <row r="48">
      <c r="A48" s="68" t="str">
        <f>IFERROR(__xludf.DUMMYFUNCTION("""COMPUTED_VALUE"""),"Eventos da Área")</f>
        <v>Eventos da Área</v>
      </c>
    </row>
    <row r="49">
      <c r="A49" s="68" t="str">
        <f>IFERROR(__xludf.DUMMYFUNCTION("""COMPUTED_VALUE"""),"Eventos da Área")</f>
        <v>Eventos da Área</v>
      </c>
    </row>
    <row r="50">
      <c r="A50" s="68" t="str">
        <f>IFERROR(__xludf.DUMMYFUNCTION("""COMPUTED_VALUE"""),"Eventos da Área")</f>
        <v>Eventos da Área</v>
      </c>
    </row>
    <row r="51">
      <c r="A51" s="68" t="str">
        <f>IFERROR(__xludf.DUMMYFUNCTION("""COMPUTED_VALUE"""),"Eventos da Área")</f>
        <v>Eventos da Área</v>
      </c>
    </row>
    <row r="52">
      <c r="A52" s="68" t="str">
        <f>IFERROR(__xludf.DUMMYFUNCTION("""COMPUTED_VALUE"""),"Eventos da Área")</f>
        <v>Eventos da Área</v>
      </c>
    </row>
    <row r="53">
      <c r="A53" s="68" t="str">
        <f>IFERROR(__xludf.DUMMYFUNCTION("""COMPUTED_VALUE"""),"Eventos da Área")</f>
        <v>Eventos da Área</v>
      </c>
    </row>
    <row r="54">
      <c r="A54" s="68" t="str">
        <f>IFERROR(__xludf.DUMMYFUNCTION("""COMPUTED_VALUE"""),"Eventos da Área")</f>
        <v>Eventos da Área</v>
      </c>
    </row>
    <row r="55">
      <c r="A55" s="68" t="str">
        <f>IFERROR(__xludf.DUMMYFUNCTION("""COMPUTED_VALUE"""),"Eventos da Área")</f>
        <v>Eventos da Área</v>
      </c>
    </row>
    <row r="56">
      <c r="A56" s="68" t="str">
        <f>IFERROR(__xludf.DUMMYFUNCTION("""COMPUTED_VALUE"""),"Eventos da Área")</f>
        <v>Eventos da Área</v>
      </c>
    </row>
    <row r="57">
      <c r="A57" s="68" t="str">
        <f>IFERROR(__xludf.DUMMYFUNCTION("""COMPUTED_VALUE"""),"Eventos da Área")</f>
        <v>Eventos da Área</v>
      </c>
    </row>
    <row r="58">
      <c r="A58" s="68" t="str">
        <f>IFERROR(__xludf.DUMMYFUNCTION("""COMPUTED_VALUE"""),"Eventos da Área")</f>
        <v>Eventos da Área</v>
      </c>
    </row>
    <row r="59">
      <c r="A59" s="68" t="str">
        <f>IFERROR(__xludf.DUMMYFUNCTION("""COMPUTED_VALUE"""),"Eventos da Área")</f>
        <v>Eventos da Área</v>
      </c>
    </row>
    <row r="60">
      <c r="A60" s="68" t="str">
        <f>IFERROR(__xludf.DUMMYFUNCTION("""COMPUTED_VALUE"""),"Eventos da Área")</f>
        <v>Eventos da Área</v>
      </c>
    </row>
    <row r="61">
      <c r="A61" s="68" t="str">
        <f>IFERROR(__xludf.DUMMYFUNCTION("""COMPUTED_VALUE"""),"Eventos da Área")</f>
        <v>Eventos da Área</v>
      </c>
    </row>
    <row r="62">
      <c r="A62" s="68" t="str">
        <f>IFERROR(__xludf.DUMMYFUNCTION("""COMPUTED_VALUE"""),"Eventos da Área")</f>
        <v>Eventos da Área</v>
      </c>
    </row>
    <row r="63">
      <c r="A63" s="68" t="str">
        <f>IFERROR(__xludf.DUMMYFUNCTION("""COMPUTED_VALUE"""),"Eventos da Área")</f>
        <v>Eventos da Área</v>
      </c>
    </row>
    <row r="64">
      <c r="A64" s="68" t="str">
        <f>IFERROR(__xludf.DUMMYFUNCTION("""COMPUTED_VALUE"""),"Eventos da Área")</f>
        <v>Eventos da Área</v>
      </c>
    </row>
    <row r="65">
      <c r="A65" s="68" t="str">
        <f>IFERROR(__xludf.DUMMYFUNCTION("""COMPUTED_VALUE"""),"Eventos da Área")</f>
        <v>Eventos da Área</v>
      </c>
    </row>
    <row r="66">
      <c r="A66" s="68" t="str">
        <f>IFERROR(__xludf.DUMMYFUNCTION("""COMPUTED_VALUE"""),"Eventos da Área")</f>
        <v>Eventos da Área</v>
      </c>
    </row>
    <row r="67">
      <c r="A67" s="68" t="str">
        <f>IFERROR(__xludf.DUMMYFUNCTION("""COMPUTED_VALUE"""),"Eventos da Área")</f>
        <v>Eventos da Área</v>
      </c>
    </row>
    <row r="68">
      <c r="A68" s="68" t="str">
        <f>IFERROR(__xludf.DUMMYFUNCTION("""COMPUTED_VALUE"""),"Eventos da Área")</f>
        <v>Eventos da Área</v>
      </c>
    </row>
    <row r="69">
      <c r="A69" s="68" t="str">
        <f>IFERROR(__xludf.DUMMYFUNCTION("""COMPUTED_VALUE"""),"Eventos da Área")</f>
        <v>Eventos da Área</v>
      </c>
    </row>
    <row r="70">
      <c r="A70" s="68" t="str">
        <f>IFERROR(__xludf.DUMMYFUNCTION("""COMPUTED_VALUE"""),"Eventos da Área")</f>
        <v>Eventos da Área</v>
      </c>
    </row>
    <row r="71">
      <c r="A71" s="68" t="str">
        <f>IFERROR(__xludf.DUMMYFUNCTION("""COMPUTED_VALUE"""),"Eventos da Área")</f>
        <v>Eventos da Área</v>
      </c>
    </row>
    <row r="72">
      <c r="A72" s="68" t="str">
        <f>IFERROR(__xludf.DUMMYFUNCTION("""COMPUTED_VALUE"""),"Eventos da Área")</f>
        <v>Eventos da Área</v>
      </c>
    </row>
    <row r="73">
      <c r="A73" s="68" t="str">
        <f>IFERROR(__xludf.DUMMYFUNCTION("""COMPUTED_VALUE"""),"Eventos da Área")</f>
        <v>Eventos da Área</v>
      </c>
    </row>
    <row r="74">
      <c r="A74" s="68" t="str">
        <f>IFERROR(__xludf.DUMMYFUNCTION("""COMPUTED_VALUE"""),"Eventos da Área")</f>
        <v>Eventos da Área</v>
      </c>
    </row>
    <row r="75">
      <c r="A75" s="68" t="str">
        <f>IFERROR(__xludf.DUMMYFUNCTION("""COMPUTED_VALUE"""),"Eventos da Área")</f>
        <v>Eventos da Área</v>
      </c>
    </row>
    <row r="76">
      <c r="A76" s="68" t="str">
        <f>IFERROR(__xludf.DUMMYFUNCTION("""COMPUTED_VALUE"""),"Eventos da Área")</f>
        <v>Eventos da Área</v>
      </c>
    </row>
    <row r="77">
      <c r="A77" s="68" t="str">
        <f>IFERROR(__xludf.DUMMYFUNCTION("""COMPUTED_VALUE"""),"Eventos da Área")</f>
        <v>Eventos da Área</v>
      </c>
    </row>
    <row r="78">
      <c r="A78" s="68" t="str">
        <f>IFERROR(__xludf.DUMMYFUNCTION("""COMPUTED_VALUE"""),"Eventos da Área")</f>
        <v>Eventos da Área</v>
      </c>
    </row>
    <row r="79">
      <c r="A79" s="68" t="str">
        <f>IFERROR(__xludf.DUMMYFUNCTION("""COMPUTED_VALUE"""),"Eventos da Área")</f>
        <v>Eventos da Área</v>
      </c>
    </row>
    <row r="80">
      <c r="A80" s="68" t="str">
        <f>IFERROR(__xludf.DUMMYFUNCTION("""COMPUTED_VALUE"""),"Eventos da Área")</f>
        <v>Eventos da Área</v>
      </c>
    </row>
    <row r="81">
      <c r="A81" s="68" t="str">
        <f>IFERROR(__xludf.DUMMYFUNCTION("""COMPUTED_VALUE"""),"Eventos da Área")</f>
        <v>Eventos da Área</v>
      </c>
    </row>
    <row r="82">
      <c r="A82" s="68" t="str">
        <f>IFERROR(__xludf.DUMMYFUNCTION("""COMPUTED_VALUE"""),"Eventos da Área")</f>
        <v>Eventos da Área</v>
      </c>
    </row>
    <row r="83">
      <c r="A83" s="68" t="str">
        <f>IFERROR(__xludf.DUMMYFUNCTION("""COMPUTED_VALUE"""),"Eventos da Área")</f>
        <v>Eventos da Área</v>
      </c>
    </row>
    <row r="84">
      <c r="A84" s="68" t="str">
        <f>IFERROR(__xludf.DUMMYFUNCTION("""COMPUTED_VALUE"""),"Eventos da Área")</f>
        <v>Eventos da Área</v>
      </c>
    </row>
    <row r="85">
      <c r="A85" s="68" t="str">
        <f>IFERROR(__xludf.DUMMYFUNCTION("""COMPUTED_VALUE"""),"Eventos da Área")</f>
        <v>Eventos da Área</v>
      </c>
    </row>
    <row r="86">
      <c r="A86" s="68" t="str">
        <f>IFERROR(__xludf.DUMMYFUNCTION("""COMPUTED_VALUE"""),"Eventos da Área")</f>
        <v>Eventos da Área</v>
      </c>
    </row>
    <row r="87">
      <c r="A87" s="68" t="str">
        <f>IFERROR(__xludf.DUMMYFUNCTION("""COMPUTED_VALUE"""),"Eventos da Área")</f>
        <v>Eventos da Área</v>
      </c>
    </row>
    <row r="88">
      <c r="A88" s="68" t="str">
        <f>IFERROR(__xludf.DUMMYFUNCTION("""COMPUTED_VALUE"""),"Eventos da Área")</f>
        <v>Eventos da Área</v>
      </c>
    </row>
    <row r="89">
      <c r="A89" s="68" t="str">
        <f>IFERROR(__xludf.DUMMYFUNCTION("""COMPUTED_VALUE"""),"Eventos da Área")</f>
        <v>Eventos da Área</v>
      </c>
    </row>
    <row r="90">
      <c r="A90" s="68" t="str">
        <f>IFERROR(__xludf.DUMMYFUNCTION("""COMPUTED_VALUE"""),"Eventos da Área")</f>
        <v>Eventos da Área</v>
      </c>
    </row>
    <row r="91">
      <c r="A91" s="68" t="str">
        <f>IFERROR(__xludf.DUMMYFUNCTION("""COMPUTED_VALUE"""),"Eventos da Área")</f>
        <v>Eventos da Área</v>
      </c>
    </row>
    <row r="92">
      <c r="A92" s="68" t="str">
        <f>IFERROR(__xludf.DUMMYFUNCTION("""COMPUTED_VALUE"""),"Eventos da Área")</f>
        <v>Eventos da Área</v>
      </c>
    </row>
    <row r="93">
      <c r="A93" s="68" t="str">
        <f>IFERROR(__xludf.DUMMYFUNCTION("""COMPUTED_VALUE"""),"Eventos da Área")</f>
        <v>Eventos da Área</v>
      </c>
    </row>
    <row r="94">
      <c r="A94" s="68" t="str">
        <f>IFERROR(__xludf.DUMMYFUNCTION("""COMPUTED_VALUE"""),"Eventos da Área")</f>
        <v>Eventos da Área</v>
      </c>
    </row>
    <row r="95">
      <c r="A95" s="68" t="str">
        <f>IFERROR(__xludf.DUMMYFUNCTION("""COMPUTED_VALUE"""),"Eventos da Área")</f>
        <v>Eventos da Área</v>
      </c>
    </row>
    <row r="96">
      <c r="A96" s="68" t="str">
        <f>IFERROR(__xludf.DUMMYFUNCTION("""COMPUTED_VALUE"""),"Eventos da Área")</f>
        <v>Eventos da Área</v>
      </c>
    </row>
    <row r="97">
      <c r="A97" s="68" t="str">
        <f>IFERROR(__xludf.DUMMYFUNCTION("""COMPUTED_VALUE"""),"Eventos da Área")</f>
        <v>Eventos da Área</v>
      </c>
    </row>
    <row r="98">
      <c r="A98" s="68" t="str">
        <f>IFERROR(__xludf.DUMMYFUNCTION("""COMPUTED_VALUE"""),"Eventos da Área")</f>
        <v>Eventos da Área</v>
      </c>
    </row>
    <row r="99">
      <c r="A99" s="68"/>
    </row>
    <row r="100">
      <c r="A100" s="68"/>
    </row>
    <row r="101">
      <c r="A101" s="68"/>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E10"/>
    <hyperlink r:id="rId18" ref="I10"/>
    <hyperlink r:id="rId19" ref="E11"/>
    <hyperlink r:id="rId20" ref="I11"/>
    <hyperlink r:id="rId21" ref="E12"/>
    <hyperlink r:id="rId22" ref="I12"/>
    <hyperlink r:id="rId23" ref="J12"/>
    <hyperlink r:id="rId24" ref="E13"/>
    <hyperlink r:id="rId25" ref="I13"/>
    <hyperlink r:id="rId26" ref="E14"/>
    <hyperlink r:id="rId27" ref="I14"/>
    <hyperlink r:id="rId28" ref="E15"/>
    <hyperlink r:id="rId29" ref="I15"/>
    <hyperlink r:id="rId30" ref="E16"/>
    <hyperlink r:id="rId31" ref="I16"/>
    <hyperlink r:id="rId32" ref="E17"/>
    <hyperlink r:id="rId33" ref="J17"/>
    <hyperlink r:id="rId34" ref="E18"/>
    <hyperlink r:id="rId35" ref="I18"/>
    <hyperlink r:id="rId36" ref="E19"/>
    <hyperlink r:id="rId37" ref="H19"/>
    <hyperlink r:id="rId38" ref="I19"/>
    <hyperlink r:id="rId39" ref="E20"/>
    <hyperlink r:id="rId40" ref="I20"/>
    <hyperlink r:id="rId41" ref="E21"/>
  </hyperlinks>
  <drawing r:id="rId42"/>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83.38"/>
    <col customWidth="1" min="7" max="7" width="34.25"/>
    <col customWidth="1" min="8" max="8" width="30.38"/>
    <col customWidth="1" min="9" max="9" width="34.38"/>
    <col customWidth="1" min="10" max="10" width="27.5"/>
  </cols>
  <sheetData>
    <row r="1">
      <c r="A1" s="1" t="str">
        <f>IFERROR(__xludf.DUMMYFUNCTION("importrange(""https://docs.google.com/spreadsheets/d/1U_FslyM2w01but1oA4c68tA6loGWwVT2ke4bbkWpZVY/edit#gid=1174342517"",""CE-Geoinformática!A1:J150"")"),"TOP")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58" t="str">
        <f>IFERROR(__xludf.DUMMYFUNCTION("""COMPUTED_VALUE"""),"Top 10")</f>
        <v>Top 10</v>
      </c>
      <c r="B2" t="str">
        <f>IFERROR(__xludf.DUMMYFUNCTION("""COMPUTED_VALUE"""),"SIGSPATIAL")</f>
        <v>SIGSPATIAL</v>
      </c>
      <c r="C2" t="str">
        <f>IFERROR(__xludf.DUMMYFUNCTION("""COMPUTED_VALUE"""),"ACM SIGSPATIAL International Conference on Advances in Geographic Information Systems")</f>
        <v>ACM SIGSPATIAL International Conference on Advances in Geographic Information Systems</v>
      </c>
      <c r="D2">
        <f>IFERROR(__xludf.DUMMYFUNCTION("""COMPUTED_VALUE"""),27.0)</f>
        <v>27</v>
      </c>
      <c r="E2" s="193" t="str">
        <f>IFERROR(__xludf.DUMMYFUNCTION("""COMPUTED_VALUE"""),"https://scholar.google.com.br/citations?hl=pt-BR&amp;view_op=list_hcore&amp;venue=OOX3mKRBpYMJ.2024")</f>
        <v>https://scholar.google.com.br/citations?hl=pt-BR&amp;view_op=list_hcore&amp;venue=OOX3mKRBpYMJ.2024</v>
      </c>
      <c r="G2" t="str">
        <f>IFERROR(__xludf.DUMMYFUNCTION("""COMPUTED_VALUE"""),"International Conference on Advances in Geographic Information Systems")</f>
        <v>International Conference on Advances in Geographic Information Systems</v>
      </c>
      <c r="I2" s="60" t="str">
        <f>IFERROR(__xludf.DUMMYFUNCTION("""COMPUTED_VALUE"""),"https://dblp.org/db/conf/gis/index.html")</f>
        <v>https://dblp.org/db/conf/gis/index.html</v>
      </c>
    </row>
    <row r="3">
      <c r="A3" s="58" t="str">
        <f>IFERROR(__xludf.DUMMYFUNCTION("""COMPUTED_VALUE"""),"Top 10")</f>
        <v>Top 10</v>
      </c>
      <c r="B3" t="str">
        <f>IFERROR(__xludf.DUMMYFUNCTION("""COMPUTED_VALUE"""),"COSIT")</f>
        <v>COSIT</v>
      </c>
      <c r="C3" t="str">
        <f>IFERROR(__xludf.DUMMYFUNCTION("""COMPUTED_VALUE"""),"International Conference on Spatial Information Theory")</f>
        <v>International Conference on Spatial Information Theory</v>
      </c>
      <c r="D3">
        <f>IFERROR(__xludf.DUMMYFUNCTION("""COMPUTED_VALUE"""),13.0)</f>
        <v>13</v>
      </c>
      <c r="E3" s="193" t="str">
        <f>IFERROR(__xludf.DUMMYFUNCTION("""COMPUTED_VALUE"""),"https://scholar.google.com.br/citations?hl=pt-BR&amp;view_op=list_hcore&amp;venue=g1IeG8tN8KAJ.2018")</f>
        <v>https://scholar.google.com.br/citations?hl=pt-BR&amp;view_op=list_hcore&amp;venue=g1IeG8tN8KAJ.2018</v>
      </c>
      <c r="I3" s="60" t="str">
        <f>IFERROR(__xludf.DUMMYFUNCTION("""COMPUTED_VALUE"""),"https://dblp.org/db/conf/cosit/index.html")</f>
        <v>https://dblp.org/db/conf/cosit/index.html</v>
      </c>
    </row>
    <row r="4">
      <c r="A4" s="58" t="str">
        <f>IFERROR(__xludf.DUMMYFUNCTION("""COMPUTED_VALUE"""),"Top 10")</f>
        <v>Top 10</v>
      </c>
      <c r="B4" t="str">
        <f>IFERROR(__xludf.DUMMYFUNCTION("""COMPUTED_VALUE"""),"GIScience")</f>
        <v>GIScience</v>
      </c>
      <c r="C4" t="str">
        <f>IFERROR(__xludf.DUMMYFUNCTION("""COMPUTED_VALUE"""),"International Conference on Geographic Information Science")</f>
        <v>International Conference on Geographic Information Science</v>
      </c>
      <c r="D4">
        <f>IFERROR(__xludf.DUMMYFUNCTION("""COMPUTED_VALUE"""),8.0)</f>
        <v>8</v>
      </c>
      <c r="E4" s="193" t="str">
        <f>IFERROR(__xludf.DUMMYFUNCTION("""COMPUTED_VALUE"""),"https://scholar.google.com.br/citations?hl=pt-BR&amp;view_op=list_hcore&amp;venue=_va3nqyJpWMJ.2024")</f>
        <v>https://scholar.google.com.br/citations?hl=pt-BR&amp;view_op=list_hcore&amp;venue=_va3nqyJpWMJ.2024</v>
      </c>
      <c r="I4" s="60" t="str">
        <f>IFERROR(__xludf.DUMMYFUNCTION("""COMPUTED_VALUE"""),"https://dblp.org/db/conf/giscience/index.html")</f>
        <v>https://dblp.org/db/conf/giscience/index.html</v>
      </c>
    </row>
    <row r="5">
      <c r="A5" s="58" t="str">
        <f>IFERROR(__xludf.DUMMYFUNCTION("""COMPUTED_VALUE"""),"Top 10")</f>
        <v>Top 10</v>
      </c>
      <c r="B5" t="str">
        <f>IFERROR(__xludf.DUMMYFUNCTION("""COMPUTED_VALUE"""),"AGILE")</f>
        <v>AGILE</v>
      </c>
      <c r="C5" t="str">
        <f>IFERROR(__xludf.DUMMYFUNCTION("""COMPUTED_VALUE"""),"AGILE Conference on Geo-information Science")</f>
        <v>AGILE Conference on Geo-information Science</v>
      </c>
      <c r="D5">
        <f>IFERROR(__xludf.DUMMYFUNCTION("""COMPUTED_VALUE"""),10.0)</f>
        <v>10</v>
      </c>
      <c r="E5" s="193" t="str">
        <f>IFERROR(__xludf.DUMMYFUNCTION("""COMPUTED_VALUE"""),"https://scholar.google.com.br/citations?hl=pt-BR&amp;view_op=list_hcore&amp;venue=Lw_joq0vfyMJ.2024")</f>
        <v>https://scholar.google.com.br/citations?hl=pt-BR&amp;view_op=list_hcore&amp;venue=Lw_joq0vfyMJ.2024</v>
      </c>
      <c r="F5" t="str">
        <f>IFERROR(__xludf.DUMMYFUNCTION("""COMPUTED_VALUE"""),"AGILEGIS")</f>
        <v>AGILEGIS</v>
      </c>
      <c r="G5" t="str">
        <f>IFERROR(__xludf.DUMMYFUNCTION("""COMPUTED_VALUE"""),"Conference on Geographic Information Science")</f>
        <v>Conference on Geographic Information Science</v>
      </c>
      <c r="I5" s="60" t="str">
        <f>IFERROR(__xludf.DUMMYFUNCTION("""COMPUTED_VALUE"""),"https://dblp.org/db/conf/agile/index.html")</f>
        <v>https://dblp.org/db/conf/agile/index.html</v>
      </c>
    </row>
    <row r="6">
      <c r="A6" s="58" t="str">
        <f>IFERROR(__xludf.DUMMYFUNCTION("""COMPUTED_VALUE"""),"Top 10")</f>
        <v>Top 10</v>
      </c>
      <c r="B6" t="str">
        <f>IFERROR(__xludf.DUMMYFUNCTION("""COMPUTED_VALUE"""),"ISPRS")</f>
        <v>ISPRS</v>
      </c>
      <c r="C6" s="196" t="str">
        <f>IFERROR(__xludf.DUMMYFUNCTION("""COMPUTED_VALUE"""),"ISPRS Annals of the Photogrammetry, Remote Sensing and Spatial Information Sciences")</f>
        <v>ISPRS Annals of the Photogrammetry, Remote Sensing and Spatial Information Sciences</v>
      </c>
      <c r="D6">
        <f>IFERROR(__xludf.DUMMYFUNCTION("""COMPUTED_VALUE"""),29.0)</f>
        <v>29</v>
      </c>
      <c r="E6" s="193" t="str">
        <f>IFERROR(__xludf.DUMMYFUNCTION("""COMPUTED_VALUE"""),"https://scholar.google.com.br/citations?hl=pt-BR&amp;view_op=list_hcore&amp;venue=jll6j_M0-kEJ.2024")</f>
        <v>https://scholar.google.com.br/citations?hl=pt-BR&amp;view_op=list_hcore&amp;venue=jll6j_M0-kEJ.2024</v>
      </c>
      <c r="I6" t="str">
        <f>IFERROR(__xludf.DUMMYFUNCTION("""COMPUTED_VALUE""")," ")</f>
        <v> </v>
      </c>
    </row>
    <row r="7">
      <c r="A7" s="58" t="str">
        <f>IFERROR(__xludf.DUMMYFUNCTION("""COMPUTED_VALUE"""),"Top 10")</f>
        <v>Top 10</v>
      </c>
      <c r="B7" t="str">
        <f>IFERROR(__xludf.DUMMYFUNCTION("""COMPUTED_VALUE"""),"SDSS")</f>
        <v>SDSS</v>
      </c>
      <c r="C7" t="str">
        <f>IFERROR(__xludf.DUMMYFUNCTION("""COMPUTED_VALUE"""),"Spatial Data Science Symposium")</f>
        <v>Spatial Data Science Symposium</v>
      </c>
      <c r="D7">
        <f>IFERROR(__xludf.DUMMYFUNCTION("""COMPUTED_VALUE"""),2.0)</f>
        <v>2</v>
      </c>
      <c r="E7" s="193" t="str">
        <f>IFERROR(__xludf.DUMMYFUNCTION("""COMPUTED_VALUE"""),"https://scholar.google.com.br/scholar?hl=pt-BR&amp;as_sdt=0%2C5&amp;q=source%3A%22Spatial+Data+Science+Symposium%22&amp;btnG=")</f>
        <v>https://scholar.google.com.br/scholar?hl=pt-BR&amp;as_sdt=0%2C5&amp;q=source%3A%22Spatial+Data+Science+Symposium%22&amp;btnG=</v>
      </c>
      <c r="I7" t="str">
        <f>IFERROR(__xludf.DUMMYFUNCTION("""COMPUTED_VALUE""")," ")</f>
        <v> </v>
      </c>
    </row>
    <row r="8">
      <c r="A8" s="58" t="str">
        <f>IFERROR(__xludf.DUMMYFUNCTION("""COMPUTED_VALUE"""),"Top 10")</f>
        <v>Top 10</v>
      </c>
      <c r="B8" t="str">
        <f>IFERROR(__xludf.DUMMYFUNCTION("""COMPUTED_VALUE"""),"SSDBM")</f>
        <v>SSDBM</v>
      </c>
      <c r="C8" t="str">
        <f>IFERROR(__xludf.DUMMYFUNCTION("""COMPUTED_VALUE"""),"International Conference on Scientific and Statistical Database Management")</f>
        <v>International Conference on Scientific and Statistical Database Management</v>
      </c>
      <c r="D8">
        <f>IFERROR(__xludf.DUMMYFUNCTION("""COMPUTED_VALUE"""),12.0)</f>
        <v>12</v>
      </c>
      <c r="E8" s="193" t="str">
        <f>IFERROR(__xludf.DUMMYFUNCTION("""COMPUTED_VALUE"""),"https://scholar.google.com.br/citations?hl=pt-BR&amp;view_op=list_hcore&amp;venue=w_KC2fvJJQEJ.2024")</f>
        <v>https://scholar.google.com.br/citations?hl=pt-BR&amp;view_op=list_hcore&amp;venue=w_KC2fvJJQEJ.2024</v>
      </c>
      <c r="I8" s="60" t="str">
        <f>IFERROR(__xludf.DUMMYFUNCTION("""COMPUTED_VALUE"""),"https://dblp.org/db/conf/ssdbm/index.html")</f>
        <v>https://dblp.org/db/conf/ssdbm/index.html</v>
      </c>
    </row>
    <row r="9">
      <c r="A9" s="58" t="str">
        <f>IFERROR(__xludf.DUMMYFUNCTION("""COMPUTED_VALUE"""),"Top 10")</f>
        <v>Top 10</v>
      </c>
      <c r="B9" t="str">
        <f>IFERROR(__xludf.DUMMYFUNCTION("""COMPUTED_VALUE"""),"eScience")</f>
        <v>eScience</v>
      </c>
      <c r="C9" t="str">
        <f>IFERROR(__xludf.DUMMYFUNCTION("""COMPUTED_VALUE"""),"IEEE eScience International Conference")</f>
        <v>IEEE eScience International Conference</v>
      </c>
      <c r="D9">
        <f>IFERROR(__xludf.DUMMYFUNCTION("""COMPUTED_VALUE"""),15.0)</f>
        <v>15</v>
      </c>
      <c r="E9" s="193" t="str">
        <f>IFERROR(__xludf.DUMMYFUNCTION("""COMPUTED_VALUE"""),"https://scholar.google.com.br/citations?hl=pt-BR&amp;view_op=list_hcore&amp;venue=6RxgACAtCdcJ.2024")</f>
        <v>https://scholar.google.com.br/citations?hl=pt-BR&amp;view_op=list_hcore&amp;venue=6RxgACAtCdcJ.2024</v>
      </c>
      <c r="I9" s="60" t="str">
        <f>IFERROR(__xludf.DUMMYFUNCTION("""COMPUTED_VALUE"""),"https://dblp.org/db/conf/eScience/index.html")</f>
        <v>https://dblp.org/db/conf/eScience/index.html</v>
      </c>
    </row>
    <row r="10">
      <c r="A10" s="58" t="str">
        <f>IFERROR(__xludf.DUMMYFUNCTION("""COMPUTED_VALUE"""),"Top 10")</f>
        <v>Top 10</v>
      </c>
      <c r="B10" t="str">
        <f>IFERROR(__xludf.DUMMYFUNCTION("""COMPUTED_VALUE"""),"ER")</f>
        <v>ER</v>
      </c>
      <c r="C10" t="str">
        <f>IFERROR(__xludf.DUMMYFUNCTION("""COMPUTED_VALUE"""),"International Conference on Conceptual Modeling")</f>
        <v>International Conference on Conceptual Modeling</v>
      </c>
      <c r="D10">
        <f>IFERROR(__xludf.DUMMYFUNCTION("""COMPUTED_VALUE"""),20.0)</f>
        <v>20</v>
      </c>
      <c r="E10" s="193" t="str">
        <f>IFERROR(__xludf.DUMMYFUNCTION("""COMPUTED_VALUE"""),"https://scholar.google.com.br/citations?hl=pt-BR&amp;view_op=list_hcore&amp;venue=wB6WaEpFlvgJ.2024")</f>
        <v>https://scholar.google.com.br/citations?hl=pt-BR&amp;view_op=list_hcore&amp;venue=wB6WaEpFlvgJ.2024</v>
      </c>
      <c r="I10" s="60" t="str">
        <f>IFERROR(__xludf.DUMMYFUNCTION("""COMPUTED_VALUE"""),"https://dblp.org/db/conf/er/index.html")</f>
        <v>https://dblp.org/db/conf/er/index.html</v>
      </c>
    </row>
    <row r="11">
      <c r="A11" s="58" t="str">
        <f>IFERROR(__xludf.DUMMYFUNCTION("""COMPUTED_VALUE"""),"Top 10")</f>
        <v>Top 10</v>
      </c>
      <c r="B11" t="str">
        <f>IFERROR(__xludf.DUMMYFUNCTION("""COMPUTED_VALUE"""),"GeoInfo")</f>
        <v>GeoInfo</v>
      </c>
      <c r="C11" t="str">
        <f>IFERROR(__xludf.DUMMYFUNCTION("""COMPUTED_VALUE"""),"Brazilian Symposium on Geoinformatics")</f>
        <v>Brazilian Symposium on Geoinformatics</v>
      </c>
      <c r="D11">
        <f>IFERROR(__xludf.DUMMYFUNCTION("""COMPUTED_VALUE"""),10.0)</f>
        <v>10</v>
      </c>
      <c r="E11" s="193" t="str">
        <f>IFERROR(__xludf.DUMMYFUNCTION("""COMPUTED_VALUE"""),"https://scholar.google.com/citations?hl=pt-BR&amp;user=t3gdFq0AAAAJ&amp;authuser=1&amp;gmla=AJsN-F6LBnjLXtQd-yh39j9RHYHOIsgXmARp2aXa-w-n6ht-ZspeY_ZLXmlvcUlZnpF9t9Y6VbbdXJCOwtaExL8C7awFyoOie5bAayVQdxS-Ln3RDO9Pie4")</f>
        <v>https://scholar.google.com/citations?hl=pt-BR&amp;user=t3gdFq0AAAAJ&amp;authuser=1&amp;gmla=AJsN-F6LBnjLXtQd-yh39j9RHYHOIsgXmARp2aXa-w-n6ht-ZspeY_ZLXmlvcUlZnpF9t9Y6VbbdXJCOwtaExL8C7awFyoOie5bAayVQdxS-Ln3RDO9Pie4</v>
      </c>
      <c r="H11" t="str">
        <f>IFERROR(__xludf.DUMMYFUNCTION("""COMPUTED_VALUE"""),"Simpósio Brasileiro de Geoinformática")</f>
        <v>Simpósio Brasileiro de Geoinformática</v>
      </c>
      <c r="I11" s="60" t="str">
        <f>IFERROR(__xludf.DUMMYFUNCTION("""COMPUTED_VALUE"""),"https://dblp.org/db/conf/geoinfo/index.html")</f>
        <v>https://dblp.org/db/conf/geoinfo/index.html</v>
      </c>
    </row>
    <row r="12">
      <c r="A12" s="65" t="str">
        <f>IFERROR(__xludf.DUMMYFUNCTION("""COMPUTED_VALUE"""),"Top 20")</f>
        <v>Top 20</v>
      </c>
      <c r="B12" t="str">
        <f>IFERROR(__xludf.DUMMYFUNCTION("""COMPUTED_VALUE"""),"SBSR")</f>
        <v>SBSR</v>
      </c>
      <c r="C12" t="str">
        <f>IFERROR(__xludf.DUMMYFUNCTION("""COMPUTED_VALUE"""),"Simpósio Brasileiro de Sensoriamento Remoto")</f>
        <v>Simpósio Brasileiro de Sensoriamento Remoto</v>
      </c>
      <c r="D12">
        <f>IFERROR(__xludf.DUMMYFUNCTION("""COMPUTED_VALUE"""),7.0)</f>
        <v>7</v>
      </c>
      <c r="E12" s="193" t="str">
        <f>IFERROR(__xludf.DUMMYFUNCTION("""COMPUTED_VALUE"""),"https://scholar.google.com.br/scholar?as_q=&amp;as_epq=&amp;as_oq=&amp;as_eq=&amp;as_occt=any&amp;as_sauthors=&amp;as_publication=%22simposio+brasileiro+de+sensoriamento+remoto%22&amp;as_ylo=&amp;as_yhi=&amp;hl=pt-BR&amp;as_sdt=0%2C5")</f>
        <v>https://scholar.google.com.br/scholar?as_q=&amp;as_epq=&amp;as_oq=&amp;as_eq=&amp;as_occt=any&amp;as_sauthors=&amp;as_publication=%22simposio+brasileiro+de+sensoriamento+remoto%22&amp;as_ylo=&amp;as_yhi=&amp;hl=pt-BR&amp;as_sdt=0%2C5</v>
      </c>
      <c r="I12" t="str">
        <f>IFERROR(__xludf.DUMMYFUNCTION("""COMPUTED_VALUE""")," ")</f>
        <v> </v>
      </c>
    </row>
    <row r="13">
      <c r="A13" s="65" t="str">
        <f>IFERROR(__xludf.DUMMYFUNCTION("""COMPUTED_VALUE"""),"Top 20")</f>
        <v>Top 20</v>
      </c>
      <c r="B13" t="str">
        <f>IFERROR(__xludf.DUMMYFUNCTION("""COMPUTED_VALUE"""),"LocWeb")</f>
        <v>LocWeb</v>
      </c>
      <c r="C13" t="str">
        <f>IFERROR(__xludf.DUMMYFUNCTION("""COMPUTED_VALUE"""),"International Workshop on Location and the Web")</f>
        <v>International Workshop on Location and the Web</v>
      </c>
      <c r="D13">
        <f>IFERROR(__xludf.DUMMYFUNCTION("""COMPUTED_VALUE"""),17.0)</f>
        <v>17</v>
      </c>
      <c r="E13" s="193" t="str">
        <f>IFERROR(__xludf.DUMMYFUNCTION("""COMPUTED_VALUE"""),"https://scholar.google.com.br/scholar?as_q=&amp;as_epq=&amp;as_oq=&amp;as_eq=&amp;as_occt=any&amp;as_sauthors=&amp;as_publication=International+Workshop+on+Location+and+the+Web&amp;as_ylo=&amp;as_yhi=&amp;hl=pt-BR&amp;as_sdt=0%2C5")</f>
        <v>https://scholar.google.com.br/scholar?as_q=&amp;as_epq=&amp;as_oq=&amp;as_eq=&amp;as_occt=any&amp;as_sauthors=&amp;as_publication=International+Workshop+on+Location+and+the+Web&amp;as_ylo=&amp;as_yhi=&amp;hl=pt-BR&amp;as_sdt=0%2C5</v>
      </c>
      <c r="I13" s="60" t="str">
        <f>IFERROR(__xludf.DUMMYFUNCTION("""COMPUTED_VALUE"""),"https://dblp.org/db/conf/locweb/index.html")</f>
        <v>https://dblp.org/db/conf/locweb/index.html</v>
      </c>
    </row>
    <row r="14">
      <c r="A14" s="65" t="str">
        <f>IFERROR(__xludf.DUMMYFUNCTION("""COMPUTED_VALUE"""),"Top 20")</f>
        <v>Top 20</v>
      </c>
      <c r="B14" t="str">
        <f>IFERROR(__xludf.DUMMYFUNCTION("""COMPUTED_VALUE"""),"GIR")</f>
        <v>GIR</v>
      </c>
      <c r="C14" t="str">
        <f>IFERROR(__xludf.DUMMYFUNCTION("""COMPUTED_VALUE"""),"Workshop on Geographic Information Retrieval")</f>
        <v>Workshop on Geographic Information Retrieval</v>
      </c>
      <c r="D14">
        <f>IFERROR(__xludf.DUMMYFUNCTION("""COMPUTED_VALUE"""),7.0)</f>
        <v>7</v>
      </c>
      <c r="E14" s="193" t="str">
        <f>IFERROR(__xludf.DUMMYFUNCTION("""COMPUTED_VALUE"""),"https://scholar.google.com.br/scholar?hl=pt-BR&amp;as_sdt=0%2C5&amp;q=source%3A%22Workshop+on+Geographic+Information+Retrieval%22&amp;btnG=")</f>
        <v>https://scholar.google.com.br/scholar?hl=pt-BR&amp;as_sdt=0%2C5&amp;q=source%3A%22Workshop+on+Geographic+Information+Retrieval%22&amp;btnG=</v>
      </c>
      <c r="I14" s="60" t="str">
        <f>IFERROR(__xludf.DUMMYFUNCTION("""COMPUTED_VALUE"""),"https://dblp.org/db/conf/gir/index.html")</f>
        <v>https://dblp.org/db/conf/gir/index.html</v>
      </c>
    </row>
    <row r="15">
      <c r="A15" s="65" t="str">
        <f>IFERROR(__xludf.DUMMYFUNCTION("""COMPUTED_VALUE"""),"Top 20")</f>
        <v>Top 20</v>
      </c>
      <c r="B15" t="str">
        <f>IFERROR(__xludf.DUMMYFUNCTION("""COMPUTED_VALUE"""),"SeCoGIS")</f>
        <v>SeCoGIS</v>
      </c>
      <c r="C15" t="str">
        <f>IFERROR(__xludf.DUMMYFUNCTION("""COMPUTED_VALUE"""),"Workshop on Semantic and Conceptual Issues in Geographic Information Systems")</f>
        <v>Workshop on Semantic and Conceptual Issues in Geographic Information Systems</v>
      </c>
      <c r="D15">
        <f>IFERROR(__xludf.DUMMYFUNCTION("""COMPUTED_VALUE"""),24.0)</f>
        <v>24</v>
      </c>
      <c r="E15" s="193" t="str">
        <f>IFERROR(__xludf.DUMMYFUNCTION("""COMPUTED_VALUE"""),"https://scholar.google.com.br/scholar?hl=pt-BR&amp;as_sdt=0%2C5&amp;q=source%3A%22SeCoGIS%22&amp;btnG=")</f>
        <v>https://scholar.google.com.br/scholar?hl=pt-BR&amp;as_sdt=0%2C5&amp;q=source%3A%22SeCoGIS%22&amp;btnG=</v>
      </c>
    </row>
    <row r="16">
      <c r="A16" s="65" t="str">
        <f>IFERROR(__xludf.DUMMYFUNCTION("""COMPUTED_VALUE"""),"Top 20")</f>
        <v>Top 20</v>
      </c>
      <c r="B16" t="str">
        <f>IFERROR(__xludf.DUMMYFUNCTION("""COMPUTED_VALUE"""),"LAGIRS")</f>
        <v>LAGIRS</v>
      </c>
      <c r="C16" t="str">
        <f>IFERROR(__xludf.DUMMYFUNCTION("""COMPUTED_VALUE"""),"IEEE Latin American GRSS &amp; ISPRS Remote Sensing Conference (LAGIRS)")</f>
        <v>IEEE Latin American GRSS &amp; ISPRS Remote Sensing Conference (LAGIRS)</v>
      </c>
      <c r="E16" s="193"/>
      <c r="G16" t="str">
        <f>IFERROR(__xludf.DUMMYFUNCTION("""COMPUTED_VALUE"""),"IEEE Latin American GRSS &amp; ISPRS Remote Sensing Conference")</f>
        <v>IEEE Latin American GRSS &amp; ISPRS Remote Sensing Conference</v>
      </c>
      <c r="I16" t="str">
        <f>IFERROR(__xludf.DUMMYFUNCTION("""COMPUTED_VALUE""")," ")</f>
        <v> </v>
      </c>
    </row>
    <row r="17">
      <c r="A17" s="65" t="str">
        <f>IFERROR(__xludf.DUMMYFUNCTION("""COMPUTED_VALUE"""),"Top 20")</f>
        <v>Top 20</v>
      </c>
      <c r="B17" t="str">
        <f>IFERROR(__xludf.DUMMYFUNCTION("""COMPUTED_VALUE"""),"IGARSS")</f>
        <v>IGARSS</v>
      </c>
      <c r="C17" t="str">
        <f>IFERROR(__xludf.DUMMYFUNCTION("""COMPUTED_VALUE"""),"International Geoscience and Remote Sensing Symposium (IGARSS) ")</f>
        <v>International Geoscience and Remote Sensing Symposium (IGARSS) </v>
      </c>
      <c r="D17">
        <f>IFERROR(__xludf.DUMMYFUNCTION("""COMPUTED_VALUE"""),26.0)</f>
        <v>26</v>
      </c>
      <c r="E17" s="193" t="str">
        <f>IFERROR(__xludf.DUMMYFUNCTION("""COMPUTED_VALUE"""),"https://scholar.google.com/scholar?as_q=&amp;as_epq=&amp;as_oq=&amp;as_eq=&amp;as_occt=any&amp;as_sauthors=&amp;as_publication=International+Geoscience+and+Remote+Sensing+Symposium&amp;as_ylo=2020&amp;as_yhi=2024&amp;hl=pt-BR&amp;as_sdt=0%2C5")</f>
        <v>https://scholar.google.com/scholar?as_q=&amp;as_epq=&amp;as_oq=&amp;as_eq=&amp;as_occt=any&amp;as_sauthors=&amp;as_publication=International+Geoscience+and+Remote+Sensing+Symposium&amp;as_ylo=2020&amp;as_yhi=2024&amp;hl=pt-BR&amp;as_sdt=0%2C5</v>
      </c>
      <c r="I17" s="60" t="str">
        <f>IFERROR(__xludf.DUMMYFUNCTION("""COMPUTED_VALUE"""),"https://dblp.org/db/conf/igarss/index.html")</f>
        <v>https://dblp.org/db/conf/igarss/index.html</v>
      </c>
    </row>
    <row r="18">
      <c r="A18" s="65" t="str">
        <f>IFERROR(__xludf.DUMMYFUNCTION("""COMPUTED_VALUE"""),"Top 20")</f>
        <v>Top 20</v>
      </c>
      <c r="B18" t="str">
        <f>IFERROR(__xludf.DUMMYFUNCTION("""COMPUTED_VALUE"""),"GEOprocessing")</f>
        <v>GEOprocessing</v>
      </c>
      <c r="C18" t="str">
        <f>IFERROR(__xludf.DUMMYFUNCTION("""COMPUTED_VALUE"""),"International Conference on Advanced Geographic Information Systems, Applications, and Services (GEOProcessing)")</f>
        <v>International Conference on Advanced Geographic Information Systems, Applications, and Services (GEOProcessing)</v>
      </c>
      <c r="E18" s="193"/>
      <c r="I18" t="str">
        <f>IFERROR(__xludf.DUMMYFUNCTION("""COMPUTED_VALUE""")," ")</f>
        <v> </v>
      </c>
    </row>
    <row r="19">
      <c r="A19" s="65" t="str">
        <f>IFERROR(__xludf.DUMMYFUNCTION("""COMPUTED_VALUE"""),"Top 20")</f>
        <v>Top 20</v>
      </c>
      <c r="B19" t="str">
        <f>IFERROR(__xludf.DUMMYFUNCTION("""COMPUTED_VALUE"""),"GEOBIA")</f>
        <v>GEOBIA</v>
      </c>
      <c r="C19" t="str">
        <f>IFERROR(__xludf.DUMMYFUNCTION("""COMPUTED_VALUE"""),"Geographic Object-based Image Analysis (GEOBIA)")</f>
        <v>Geographic Object-based Image Analysis (GEOBIA)</v>
      </c>
      <c r="E19" s="193"/>
    </row>
    <row r="20">
      <c r="A20" s="65" t="str">
        <f>IFERROR(__xludf.DUMMYFUNCTION("""COMPUTED_VALUE"""),"Top 20")</f>
        <v>Top 20</v>
      </c>
      <c r="B20" t="str">
        <f>IFERROR(__xludf.DUMMYFUNCTION("""COMPUTED_VALUE"""),"SBBD")</f>
        <v>SBBD</v>
      </c>
      <c r="C20" t="str">
        <f>IFERROR(__xludf.DUMMYFUNCTION("""COMPUTED_VALUE"""),"Brazilian Symposium on Databases")</f>
        <v>Brazilian Symposium on Databases</v>
      </c>
      <c r="D20">
        <f>IFERROR(__xludf.DUMMYFUNCTION("""COMPUTED_VALUE"""),7.0)</f>
        <v>7</v>
      </c>
      <c r="E20" s="193" t="str">
        <f>IFERROR(__xludf.DUMMYFUNCTION("""COMPUTED_VALUE"""),"https://scholar.google.com.br/citations?hl=pt-BR&amp;view_op=list_hcore&amp;venue=ixetonJUY2YJ.2024")</f>
        <v>https://scholar.google.com.br/citations?hl=pt-BR&amp;view_op=list_hcore&amp;venue=ixetonJUY2YJ.2024</v>
      </c>
      <c r="H20" t="str">
        <f>IFERROR(__xludf.DUMMYFUNCTION("""COMPUTED_VALUE"""),"Simpósio Brasileiro de Bancos de Dados")</f>
        <v>Simpósio Brasileiro de Bancos de Dados</v>
      </c>
      <c r="I20" s="60" t="str">
        <f>IFERROR(__xludf.DUMMYFUNCTION("""COMPUTED_VALUE"""),"https://dblp.org/db/conf/sbbd/index.html")</f>
        <v>https://dblp.org/db/conf/sbbd/index.html</v>
      </c>
      <c r="J20" s="60" t="str">
        <f>IFERROR(__xludf.DUMMYFUNCTION("""COMPUTED_VALUE"""),"http://sol.sbc.org.br/index.php/sbbd")</f>
        <v>http://sol.sbc.org.br/index.php/sbbd</v>
      </c>
    </row>
    <row r="21">
      <c r="A21" s="65" t="str">
        <f>IFERROR(__xludf.DUMMYFUNCTION("""COMPUTED_VALUE"""),"Top 20")</f>
        <v>Top 20</v>
      </c>
      <c r="B21" t="str">
        <f>IFERROR(__xludf.DUMMYFUNCTION("""COMPUTED_VALUE"""),"SSTD")</f>
        <v>SSTD</v>
      </c>
      <c r="C21" t="str">
        <f>IFERROR(__xludf.DUMMYFUNCTION("""COMPUTED_VALUE"""),"International Symposium on Spatial and Temporal Databases")</f>
        <v>International Symposium on Spatial and Temporal Databases</v>
      </c>
      <c r="D21">
        <f>IFERROR(__xludf.DUMMYFUNCTION("""COMPUTED_VALUE"""),6.0)</f>
        <v>6</v>
      </c>
      <c r="E21" s="193" t="str">
        <f>IFERROR(__xludf.DUMMYFUNCTION("""COMPUTED_VALUE"""),"https://scholar.google.com/scholar?as_q=&amp;as_epq=&amp;as_oq=&amp;as_eq=&amp;as_occt=any&amp;as_sauthors=&amp;as_publication=International+Symposium+on+Spatial+and+Temporal+Databases&amp;as_ylo=2020&amp;as_yhi=2024&amp;hl=pt-BR&amp;as_sdt=0%2C5")</f>
        <v>https://scholar.google.com/scholar?as_q=&amp;as_epq=&amp;as_oq=&amp;as_eq=&amp;as_occt=any&amp;as_sauthors=&amp;as_publication=International+Symposium+on+Spatial+and+Temporal+Databases&amp;as_ylo=2020&amp;as_yhi=2024&amp;hl=pt-BR&amp;as_sdt=0%2C5</v>
      </c>
      <c r="I21" s="60" t="str">
        <f>IFERROR(__xludf.DUMMYFUNCTION("""COMPUTED_VALUE"""),"https://dblp.org/db/conf/ssd/index.html")</f>
        <v>https://dblp.org/db/conf/ssd/index.html</v>
      </c>
    </row>
    <row r="22">
      <c r="A22" s="68" t="str">
        <f>IFERROR(__xludf.DUMMYFUNCTION("""COMPUTED_VALUE"""),"Eventos da Área")</f>
        <v>Eventos da Área</v>
      </c>
      <c r="B22" t="str">
        <f>IFERROR(__xludf.DUMMYFUNCTION("""COMPUTED_VALUE"""),"PLATIAL")</f>
        <v>PLATIAL</v>
      </c>
      <c r="C22" s="197" t="str">
        <f>IFERROR(__xludf.DUMMYFUNCTION("""COMPUTED_VALUE"""),"International Symposium on Platial Information Science")</f>
        <v>International Symposium on Platial Information Science</v>
      </c>
      <c r="D22">
        <f>IFERROR(__xludf.DUMMYFUNCTION("""COMPUTED_VALUE"""),4.0)</f>
        <v>4</v>
      </c>
      <c r="E22" s="193" t="str">
        <f>IFERROR(__xludf.DUMMYFUNCTION("""COMPUTED_VALUE"""),"https://scholar.google.com/scholar?as_q=&amp;as_epq=&amp;as_oq=&amp;as_eq=&amp;as_occt=any&amp;as_sauthors=&amp;as_publication=International+Symposium+on+Platial+Information+Science&amp;as_ylo=2020&amp;as_yhi=2024&amp;hl=pt-BR&amp;as_sdt=0%2C5")</f>
        <v>https://scholar.google.com/scholar?as_q=&amp;as_epq=&amp;as_oq=&amp;as_eq=&amp;as_occt=any&amp;as_sauthors=&amp;as_publication=International+Symposium+on+Platial+Information+Science&amp;as_ylo=2020&amp;as_yhi=2024&amp;hl=pt-BR&amp;as_sdt=0%2C5</v>
      </c>
      <c r="F22" s="171"/>
      <c r="I22" t="str">
        <f>IFERROR(__xludf.DUMMYFUNCTION("""COMPUTED_VALUE""")," ")</f>
        <v> </v>
      </c>
    </row>
    <row r="23">
      <c r="A23" s="68" t="str">
        <f>IFERROR(__xludf.DUMMYFUNCTION("""COMPUTED_VALUE"""),"Eventos da Área")</f>
        <v>Eventos da Área</v>
      </c>
      <c r="B23" t="str">
        <f>IFERROR(__xludf.DUMMYFUNCTION("""COMPUTED_VALUE"""),"ARIC")</f>
        <v>ARIC</v>
      </c>
      <c r="C23" t="str">
        <f>IFERROR(__xludf.DUMMYFUNCTION("""COMPUTED_VALUE"""),"International Workshop on Intelligent and Resilient Cities")</f>
        <v>International Workshop on Intelligent and Resilient Cities</v>
      </c>
      <c r="E23" s="193"/>
      <c r="I23" t="str">
        <f>IFERROR(__xludf.DUMMYFUNCTION("""COMPUTED_VALUE""")," ")</f>
        <v> </v>
      </c>
    </row>
    <row r="24">
      <c r="A24" s="68" t="str">
        <f>IFERROR(__xludf.DUMMYFUNCTION("""COMPUTED_VALUE"""),"Eventos da Área")</f>
        <v>Eventos da Área</v>
      </c>
      <c r="B24" t="str">
        <f>IFERROR(__xludf.DUMMYFUNCTION("""COMPUTED_VALUE"""),"GeoAI")</f>
        <v>GeoAI</v>
      </c>
      <c r="C24" t="str">
        <f>IFERROR(__xludf.DUMMYFUNCTION("""COMPUTED_VALUE"""),"International Workshop on AI for Geographic Knowledge Discovery")</f>
        <v>International Workshop on AI for Geographic Knowledge Discovery</v>
      </c>
      <c r="E24" s="193"/>
      <c r="I24" s="60" t="str">
        <f>IFERROR(__xludf.DUMMYFUNCTION("""COMPUTED_VALUE"""),"https://dblp.org/db/conf/geoai/index.html")</f>
        <v>https://dblp.org/db/conf/geoai/index.html</v>
      </c>
    </row>
    <row r="25">
      <c r="A25" s="68" t="str">
        <f>IFERROR(__xludf.DUMMYFUNCTION("""COMPUTED_VALUE"""),"Eventos da Área")</f>
        <v>Eventos da Área</v>
      </c>
      <c r="B25" t="str">
        <f>IFERROR(__xludf.DUMMYFUNCTION("""COMPUTED_VALUE"""),"IWCTS")</f>
        <v>IWCTS</v>
      </c>
      <c r="C25" t="str">
        <f>IFERROR(__xludf.DUMMYFUNCTION("""COMPUTED_VALUE"""),"International Workshop on Computational Transportation Science")</f>
        <v>International Workshop on Computational Transportation Science</v>
      </c>
      <c r="E25" s="193"/>
      <c r="I25" t="str">
        <f>IFERROR(__xludf.DUMMYFUNCTION("""COMPUTED_VALUE""")," ")</f>
        <v> </v>
      </c>
    </row>
    <row r="26">
      <c r="A26" s="68" t="str">
        <f>IFERROR(__xludf.DUMMYFUNCTION("""COMPUTED_VALUE"""),"Eventos da Área")</f>
        <v>Eventos da Área</v>
      </c>
      <c r="B26" t="str">
        <f>IFERROR(__xludf.DUMMYFUNCTION("""COMPUTED_VALUE"""),"BigSpatial")</f>
        <v>BigSpatial</v>
      </c>
      <c r="C26" t="str">
        <f>IFERROR(__xludf.DUMMYFUNCTION("""COMPUTED_VALUE"""),"International Workshop on Analytics for Big Geospatial Data")</f>
        <v>International Workshop on Analytics for Big Geospatial Data</v>
      </c>
      <c r="E26" s="193"/>
      <c r="I26" s="60" t="str">
        <f>IFERROR(__xludf.DUMMYFUNCTION("""COMPUTED_VALUE"""),"https://dblp.org/db/conf/bigspatial-ws/index.html")</f>
        <v>https://dblp.org/db/conf/bigspatial-ws/index.html</v>
      </c>
    </row>
    <row r="27">
      <c r="A27" s="68" t="str">
        <f>IFERROR(__xludf.DUMMYFUNCTION("""COMPUTED_VALUE"""),"Eventos da Área")</f>
        <v>Eventos da Área</v>
      </c>
      <c r="B27" t="str">
        <f>IFERROR(__xludf.DUMMYFUNCTION("""COMPUTED_VALUE"""),"EM-GIS")</f>
        <v>EM-GIS</v>
      </c>
      <c r="C27" t="str">
        <f>IFERROR(__xludf.DUMMYFUNCTION("""COMPUTED_VALUE"""),"International Workshop on the Use of GIS in Emergency Management")</f>
        <v>International Workshop on the Use of GIS in Emergency Management</v>
      </c>
      <c r="E27" s="193"/>
      <c r="I27" t="str">
        <f>IFERROR(__xludf.DUMMYFUNCTION("""COMPUTED_VALUE""")," ")</f>
        <v> </v>
      </c>
    </row>
    <row r="28">
      <c r="A28" s="68" t="str">
        <f>IFERROR(__xludf.DUMMYFUNCTION("""COMPUTED_VALUE"""),"Eventos da Área")</f>
        <v>Eventos da Área</v>
      </c>
      <c r="B28" t="str">
        <f>IFERROR(__xludf.DUMMYFUNCTION("""COMPUTED_VALUE"""),"PredictGIS")</f>
        <v>PredictGIS</v>
      </c>
      <c r="C28" t="str">
        <f>IFERROR(__xludf.DUMMYFUNCTION("""COMPUTED_VALUE"""),"International Workshop on Prediction of Human Mobility")</f>
        <v>International Workshop on Prediction of Human Mobility</v>
      </c>
      <c r="E28" s="193"/>
      <c r="I28" t="str">
        <f>IFERROR(__xludf.DUMMYFUNCTION("""COMPUTED_VALUE""")," ")</f>
        <v> </v>
      </c>
    </row>
    <row r="29">
      <c r="A29" s="68" t="str">
        <f>IFERROR(__xludf.DUMMYFUNCTION("""COMPUTED_VALUE"""),"Eventos da Área")</f>
        <v>Eventos da Área</v>
      </c>
      <c r="B29" t="str">
        <f>IFERROR(__xludf.DUMMYFUNCTION("""COMPUTED_VALUE"""),"GeoSim")</f>
        <v>GeoSim</v>
      </c>
      <c r="C29" t="str">
        <f>IFERROR(__xludf.DUMMYFUNCTION("""COMPUTED_VALUE"""),"International Workshop on Geospatial Simulation")</f>
        <v>International Workshop on Geospatial Simulation</v>
      </c>
      <c r="E29" s="193"/>
      <c r="I29" s="60" t="str">
        <f>IFERROR(__xludf.DUMMYFUNCTION("""COMPUTED_VALUE"""),"https://dblp.org/db/conf/geosim/index.html")</f>
        <v>https://dblp.org/db/conf/geosim/index.html</v>
      </c>
    </row>
    <row r="30">
      <c r="A30" s="68" t="str">
        <f>IFERROR(__xludf.DUMMYFUNCTION("""COMPUTED_VALUE"""),"Eventos da Área")</f>
        <v>Eventos da Área</v>
      </c>
      <c r="B30" t="str">
        <f>IFERROR(__xludf.DUMMYFUNCTION("""COMPUTED_VALUE"""),"LocalRec")</f>
        <v>LocalRec</v>
      </c>
      <c r="C30" t="str">
        <f>IFERROR(__xludf.DUMMYFUNCTION("""COMPUTED_VALUE"""),"International Workshop on Location-Based Recommendations, Geosocial Networks and Geoadvertising")</f>
        <v>International Workshop on Location-Based Recommendations, Geosocial Networks and Geoadvertising</v>
      </c>
      <c r="E30" s="193"/>
      <c r="I30" t="str">
        <f>IFERROR(__xludf.DUMMYFUNCTION("""COMPUTED_VALUE""")," ")</f>
        <v> </v>
      </c>
    </row>
    <row r="31">
      <c r="A31" s="68" t="str">
        <f>IFERROR(__xludf.DUMMYFUNCTION("""COMPUTED_VALUE"""),"Eventos da Área")</f>
        <v>Eventos da Área</v>
      </c>
      <c r="B31" t="str">
        <f>IFERROR(__xludf.DUMMYFUNCTION("""COMPUTED_VALUE"""),"GVIZ")</f>
        <v>GVIZ</v>
      </c>
      <c r="C31" t="str">
        <f>IFERROR(__xludf.DUMMYFUNCTION("""COMPUTED_VALUE"""),"Workshop on New Directions in Geovisual Analytics")</f>
        <v>Workshop on New Directions in Geovisual Analytics</v>
      </c>
      <c r="E31" s="193"/>
      <c r="I31" t="str">
        <f>IFERROR(__xludf.DUMMYFUNCTION("""COMPUTED_VALUE""")," ")</f>
        <v> </v>
      </c>
    </row>
    <row r="32">
      <c r="A32" s="68" t="str">
        <f>IFERROR(__xludf.DUMMYFUNCTION("""COMPUTED_VALUE"""),"Eventos da Área")</f>
        <v>Eventos da Área</v>
      </c>
      <c r="B32" t="str">
        <f>IFERROR(__xludf.DUMMYFUNCTION("""COMPUTED_VALUE"""),"LoPaS")</f>
        <v>LoPaS</v>
      </c>
      <c r="C32" t="str">
        <f>IFERROR(__xludf.DUMMYFUNCTION("""COMPUTED_VALUE"""),"Location Privacy and Security Workshop")</f>
        <v>Location Privacy and Security Workshop</v>
      </c>
      <c r="E32" s="193"/>
      <c r="I32" t="str">
        <f>IFERROR(__xludf.DUMMYFUNCTION("""COMPUTED_VALUE""")," ")</f>
        <v> </v>
      </c>
    </row>
    <row r="33">
      <c r="A33" s="68" t="str">
        <f>IFERROR(__xludf.DUMMYFUNCTION("""COMPUTED_VALUE"""),"Eventos da Área")</f>
        <v>Eventos da Área</v>
      </c>
      <c r="B33" t="str">
        <f>IFERROR(__xludf.DUMMYFUNCTION("""COMPUTED_VALUE"""),"SpatialBigData")</f>
        <v>SpatialBigData</v>
      </c>
      <c r="C33" t="str">
        <f>IFERROR(__xludf.DUMMYFUNCTION("""COMPUTED_VALUE"""),"Spatial Big Data and Machine Learning in GIScience")</f>
        <v>Spatial Big Data and Machine Learning in GIScience</v>
      </c>
      <c r="E33" s="193"/>
      <c r="I33" t="str">
        <f>IFERROR(__xludf.DUMMYFUNCTION("""COMPUTED_VALUE""")," ")</f>
        <v> </v>
      </c>
    </row>
    <row r="34">
      <c r="A34" s="68" t="str">
        <f>IFERROR(__xludf.DUMMYFUNCTION("""COMPUTED_VALUE"""),"Eventos da Área")</f>
        <v>Eventos da Área</v>
      </c>
      <c r="B34" t="str">
        <f>IFERROR(__xludf.DUMMYFUNCTION("""COMPUTED_VALUE"""),"CoARCH")</f>
        <v>CoARCH</v>
      </c>
      <c r="C34" t="str">
        <f>IFERROR(__xludf.DUMMYFUNCTION("""COMPUTED_VALUE"""),"Workshop On Computing Techniques For Spatio-Temporal Data in Archaeology And Cultural Heritage")</f>
        <v>Workshop On Computing Techniques For Spatio-Temporal Data in Archaeology And Cultural Heritage</v>
      </c>
      <c r="E34" s="193"/>
      <c r="I34" t="str">
        <f>IFERROR(__xludf.DUMMYFUNCTION("""COMPUTED_VALUE""")," ")</f>
        <v> </v>
      </c>
    </row>
    <row r="35" ht="15.0" customHeight="1">
      <c r="A35" s="68" t="str">
        <f>IFERROR(__xludf.DUMMYFUNCTION("""COMPUTED_VALUE"""),"Eventos da Área")</f>
        <v>Eventos da Área</v>
      </c>
      <c r="B35" t="str">
        <f>IFERROR(__xludf.DUMMYFUNCTION("""COMPUTED_VALUE"""),"AMD")</f>
        <v>AMD</v>
      </c>
      <c r="C35" t="str">
        <f>IFERROR(__xludf.DUMMYFUNCTION("""COMPUTED_VALUE"""),"Workshop on Analysis of Movement Data")</f>
        <v>Workshop on Analysis of Movement Data</v>
      </c>
      <c r="E35" s="193"/>
      <c r="I35" t="str">
        <f>IFERROR(__xludf.DUMMYFUNCTION("""COMPUTED_VALUE""")," ")</f>
        <v> </v>
      </c>
    </row>
    <row r="36">
      <c r="A36" s="68" t="str">
        <f>IFERROR(__xludf.DUMMYFUNCTION("""COMPUTED_VALUE"""),"Eventos da Área")</f>
        <v>Eventos da Área</v>
      </c>
      <c r="B36" t="str">
        <f>IFERROR(__xludf.DUMMYFUNCTION("""COMPUTED_VALUE"""),"CCSI")</f>
        <v>CCSI</v>
      </c>
      <c r="C36" t="str">
        <f>IFERROR(__xludf.DUMMYFUNCTION("""COMPUTED_VALUE"""),"Workshop on Core Computations on Spatial Information")</f>
        <v>Workshop on Core Computations on Spatial Information</v>
      </c>
      <c r="E36" s="193"/>
      <c r="I36" t="str">
        <f>IFERROR(__xludf.DUMMYFUNCTION("""COMPUTED_VALUE""")," ")</f>
        <v> </v>
      </c>
    </row>
    <row r="37">
      <c r="A37" s="68" t="str">
        <f>IFERROR(__xludf.DUMMYFUNCTION("""COMPUTED_VALUE"""),"Eventos da Área")</f>
        <v>Eventos da Área</v>
      </c>
      <c r="E37" s="193"/>
    </row>
    <row r="38">
      <c r="A38" s="68" t="str">
        <f>IFERROR(__xludf.DUMMYFUNCTION("""COMPUTED_VALUE"""),"Eventos da Área")</f>
        <v>Eventos da Área</v>
      </c>
      <c r="E38" s="193"/>
    </row>
    <row r="39">
      <c r="A39" s="68" t="str">
        <f>IFERROR(__xludf.DUMMYFUNCTION("""COMPUTED_VALUE"""),"Eventos da Área")</f>
        <v>Eventos da Área</v>
      </c>
      <c r="E39" s="193"/>
    </row>
    <row r="40">
      <c r="A40" s="68" t="str">
        <f>IFERROR(__xludf.DUMMYFUNCTION("""COMPUTED_VALUE"""),"Eventos da Área")</f>
        <v>Eventos da Área</v>
      </c>
      <c r="E40" s="193"/>
    </row>
    <row r="41">
      <c r="A41" s="68" t="str">
        <f>IFERROR(__xludf.DUMMYFUNCTION("""COMPUTED_VALUE"""),"Eventos da Área")</f>
        <v>Eventos da Área</v>
      </c>
      <c r="E41" s="193"/>
    </row>
    <row r="42">
      <c r="A42" s="68" t="str">
        <f>IFERROR(__xludf.DUMMYFUNCTION("""COMPUTED_VALUE"""),"Eventos da Área")</f>
        <v>Eventos da Área</v>
      </c>
      <c r="E42" s="193"/>
    </row>
    <row r="43">
      <c r="A43" s="68" t="str">
        <f>IFERROR(__xludf.DUMMYFUNCTION("""COMPUTED_VALUE"""),"Eventos da Área")</f>
        <v>Eventos da Área</v>
      </c>
      <c r="E43" s="193"/>
    </row>
    <row r="44">
      <c r="A44" s="68" t="str">
        <f>IFERROR(__xludf.DUMMYFUNCTION("""COMPUTED_VALUE"""),"Eventos da Área")</f>
        <v>Eventos da Área</v>
      </c>
      <c r="E44" s="193"/>
    </row>
    <row r="45">
      <c r="A45" s="68" t="str">
        <f>IFERROR(__xludf.DUMMYFUNCTION("""COMPUTED_VALUE"""),"Eventos da Área")</f>
        <v>Eventos da Área</v>
      </c>
      <c r="E45" s="193"/>
    </row>
    <row r="46">
      <c r="A46" s="68" t="str">
        <f>IFERROR(__xludf.DUMMYFUNCTION("""COMPUTED_VALUE"""),"Eventos da Área")</f>
        <v>Eventos da Área</v>
      </c>
      <c r="E46" s="193"/>
    </row>
    <row r="47">
      <c r="A47" s="68" t="str">
        <f>IFERROR(__xludf.DUMMYFUNCTION("""COMPUTED_VALUE"""),"Eventos da Área")</f>
        <v>Eventos da Área</v>
      </c>
      <c r="E47" s="193"/>
    </row>
    <row r="48">
      <c r="A48" s="68" t="str">
        <f>IFERROR(__xludf.DUMMYFUNCTION("""COMPUTED_VALUE"""),"Eventos da Área")</f>
        <v>Eventos da Área</v>
      </c>
    </row>
    <row r="49">
      <c r="A49" s="68" t="str">
        <f>IFERROR(__xludf.DUMMYFUNCTION("""COMPUTED_VALUE"""),"Eventos da Área")</f>
        <v>Eventos da Área</v>
      </c>
    </row>
    <row r="50">
      <c r="A50" s="68" t="str">
        <f>IFERROR(__xludf.DUMMYFUNCTION("""COMPUTED_VALUE"""),"Eventos da Área")</f>
        <v>Eventos da Área</v>
      </c>
    </row>
    <row r="51">
      <c r="A51" s="68" t="str">
        <f>IFERROR(__xludf.DUMMYFUNCTION("""COMPUTED_VALUE"""),"Eventos da Área")</f>
        <v>Eventos da Área</v>
      </c>
    </row>
    <row r="52">
      <c r="A52" s="68" t="str">
        <f>IFERROR(__xludf.DUMMYFUNCTION("""COMPUTED_VALUE"""),"Eventos da Área")</f>
        <v>Eventos da Área</v>
      </c>
    </row>
    <row r="53">
      <c r="A53" s="68" t="str">
        <f>IFERROR(__xludf.DUMMYFUNCTION("""COMPUTED_VALUE"""),"Eventos da Área")</f>
        <v>Eventos da Área</v>
      </c>
    </row>
    <row r="54">
      <c r="A54" s="68" t="str">
        <f>IFERROR(__xludf.DUMMYFUNCTION("""COMPUTED_VALUE"""),"Eventos da Área")</f>
        <v>Eventos da Área</v>
      </c>
    </row>
    <row r="55">
      <c r="A55" s="68" t="str">
        <f>IFERROR(__xludf.DUMMYFUNCTION("""COMPUTED_VALUE"""),"Eventos da Área")</f>
        <v>Eventos da Área</v>
      </c>
    </row>
    <row r="56">
      <c r="A56" s="68" t="str">
        <f>IFERROR(__xludf.DUMMYFUNCTION("""COMPUTED_VALUE"""),"Eventos da Área")</f>
        <v>Eventos da Área</v>
      </c>
    </row>
    <row r="57">
      <c r="A57" s="68" t="str">
        <f>IFERROR(__xludf.DUMMYFUNCTION("""COMPUTED_VALUE"""),"Eventos da Área")</f>
        <v>Eventos da Área</v>
      </c>
    </row>
    <row r="58">
      <c r="A58" s="68" t="str">
        <f>IFERROR(__xludf.DUMMYFUNCTION("""COMPUTED_VALUE"""),"Eventos da Área")</f>
        <v>Eventos da Área</v>
      </c>
    </row>
    <row r="59">
      <c r="A59" s="68" t="str">
        <f>IFERROR(__xludf.DUMMYFUNCTION("""COMPUTED_VALUE"""),"Eventos da Área")</f>
        <v>Eventos da Área</v>
      </c>
    </row>
    <row r="60">
      <c r="A60" s="68" t="str">
        <f>IFERROR(__xludf.DUMMYFUNCTION("""COMPUTED_VALUE"""),"Eventos da Área")</f>
        <v>Eventos da Área</v>
      </c>
    </row>
    <row r="61">
      <c r="A61" s="68" t="str">
        <f>IFERROR(__xludf.DUMMYFUNCTION("""COMPUTED_VALUE"""),"Eventos da Área")</f>
        <v>Eventos da Área</v>
      </c>
    </row>
    <row r="62">
      <c r="A62" s="68" t="str">
        <f>IFERROR(__xludf.DUMMYFUNCTION("""COMPUTED_VALUE"""),"Eventos da Área")</f>
        <v>Eventos da Área</v>
      </c>
    </row>
    <row r="63">
      <c r="A63" s="68" t="str">
        <f>IFERROR(__xludf.DUMMYFUNCTION("""COMPUTED_VALUE"""),"Eventos da Área")</f>
        <v>Eventos da Área</v>
      </c>
    </row>
    <row r="64">
      <c r="A64" s="68" t="str">
        <f>IFERROR(__xludf.DUMMYFUNCTION("""COMPUTED_VALUE"""),"Eventos da Área")</f>
        <v>Eventos da Área</v>
      </c>
    </row>
    <row r="65">
      <c r="A65" s="68" t="str">
        <f>IFERROR(__xludf.DUMMYFUNCTION("""COMPUTED_VALUE"""),"Eventos da Área")</f>
        <v>Eventos da Área</v>
      </c>
    </row>
    <row r="66">
      <c r="A66" s="68" t="str">
        <f>IFERROR(__xludf.DUMMYFUNCTION("""COMPUTED_VALUE"""),"Eventos da Área")</f>
        <v>Eventos da Área</v>
      </c>
    </row>
    <row r="67">
      <c r="A67" s="68" t="str">
        <f>IFERROR(__xludf.DUMMYFUNCTION("""COMPUTED_VALUE"""),"Eventos da Área")</f>
        <v>Eventos da Área</v>
      </c>
    </row>
    <row r="68">
      <c r="A68" s="68" t="str">
        <f>IFERROR(__xludf.DUMMYFUNCTION("""COMPUTED_VALUE"""),"Eventos da Área")</f>
        <v>Eventos da Área</v>
      </c>
    </row>
    <row r="69">
      <c r="A69" s="68" t="str">
        <f>IFERROR(__xludf.DUMMYFUNCTION("""COMPUTED_VALUE"""),"Eventos da Área")</f>
        <v>Eventos da Área</v>
      </c>
    </row>
    <row r="70">
      <c r="A70" s="68" t="str">
        <f>IFERROR(__xludf.DUMMYFUNCTION("""COMPUTED_VALUE"""),"Eventos da Área")</f>
        <v>Eventos da Área</v>
      </c>
    </row>
    <row r="71">
      <c r="A71" s="68" t="str">
        <f>IFERROR(__xludf.DUMMYFUNCTION("""COMPUTED_VALUE"""),"Eventos da Área")</f>
        <v>Eventos da Área</v>
      </c>
    </row>
    <row r="72">
      <c r="A72" s="68" t="str">
        <f>IFERROR(__xludf.DUMMYFUNCTION("""COMPUTED_VALUE"""),"Eventos da Área")</f>
        <v>Eventos da Área</v>
      </c>
    </row>
    <row r="73">
      <c r="A73" s="68" t="str">
        <f>IFERROR(__xludf.DUMMYFUNCTION("""COMPUTED_VALUE"""),"Eventos da Área")</f>
        <v>Eventos da Área</v>
      </c>
    </row>
    <row r="74">
      <c r="A74" s="68" t="str">
        <f>IFERROR(__xludf.DUMMYFUNCTION("""COMPUTED_VALUE"""),"Eventos da Área")</f>
        <v>Eventos da Área</v>
      </c>
    </row>
    <row r="75">
      <c r="A75" s="68" t="str">
        <f>IFERROR(__xludf.DUMMYFUNCTION("""COMPUTED_VALUE"""),"Eventos da Área")</f>
        <v>Eventos da Área</v>
      </c>
    </row>
    <row r="76">
      <c r="A76" s="68" t="str">
        <f>IFERROR(__xludf.DUMMYFUNCTION("""COMPUTED_VALUE"""),"Eventos da Área")</f>
        <v>Eventos da Área</v>
      </c>
    </row>
    <row r="77">
      <c r="A77" s="68" t="str">
        <f>IFERROR(__xludf.DUMMYFUNCTION("""COMPUTED_VALUE"""),"Eventos da Área")</f>
        <v>Eventos da Área</v>
      </c>
    </row>
    <row r="78">
      <c r="A78" s="68" t="str">
        <f>IFERROR(__xludf.DUMMYFUNCTION("""COMPUTED_VALUE"""),"Eventos da Área")</f>
        <v>Eventos da Área</v>
      </c>
    </row>
    <row r="79">
      <c r="A79" s="68" t="str">
        <f>IFERROR(__xludf.DUMMYFUNCTION("""COMPUTED_VALUE"""),"Eventos da Área")</f>
        <v>Eventos da Área</v>
      </c>
    </row>
    <row r="80">
      <c r="A80" s="68" t="str">
        <f>IFERROR(__xludf.DUMMYFUNCTION("""COMPUTED_VALUE"""),"Eventos da Área")</f>
        <v>Eventos da Área</v>
      </c>
    </row>
    <row r="81">
      <c r="A81" s="68" t="str">
        <f>IFERROR(__xludf.DUMMYFUNCTION("""COMPUTED_VALUE"""),"Eventos da Área")</f>
        <v>Eventos da Área</v>
      </c>
    </row>
    <row r="82">
      <c r="A82" s="68" t="str">
        <f>IFERROR(__xludf.DUMMYFUNCTION("""COMPUTED_VALUE"""),"Eventos da Área")</f>
        <v>Eventos da Área</v>
      </c>
    </row>
    <row r="83">
      <c r="A83" s="68" t="str">
        <f>IFERROR(__xludf.DUMMYFUNCTION("""COMPUTED_VALUE"""),"Eventos da Área")</f>
        <v>Eventos da Área</v>
      </c>
    </row>
    <row r="84">
      <c r="A84" s="68" t="str">
        <f>IFERROR(__xludf.DUMMYFUNCTION("""COMPUTED_VALUE"""),"Eventos da Área")</f>
        <v>Eventos da Área</v>
      </c>
    </row>
    <row r="85">
      <c r="A85" s="68" t="str">
        <f>IFERROR(__xludf.DUMMYFUNCTION("""COMPUTED_VALUE"""),"Eventos da Área")</f>
        <v>Eventos da Área</v>
      </c>
    </row>
    <row r="86">
      <c r="A86" s="68" t="str">
        <f>IFERROR(__xludf.DUMMYFUNCTION("""COMPUTED_VALUE"""),"Eventos da Área")</f>
        <v>Eventos da Área</v>
      </c>
    </row>
    <row r="87">
      <c r="A87" s="68" t="str">
        <f>IFERROR(__xludf.DUMMYFUNCTION("""COMPUTED_VALUE"""),"Eventos da Área")</f>
        <v>Eventos da Área</v>
      </c>
    </row>
    <row r="88">
      <c r="A88" s="68" t="str">
        <f>IFERROR(__xludf.DUMMYFUNCTION("""COMPUTED_VALUE"""),"Eventos da Área")</f>
        <v>Eventos da Área</v>
      </c>
    </row>
    <row r="89">
      <c r="A89" s="68" t="str">
        <f>IFERROR(__xludf.DUMMYFUNCTION("""COMPUTED_VALUE"""),"Eventos da Área")</f>
        <v>Eventos da Área</v>
      </c>
    </row>
    <row r="90">
      <c r="A90" s="68" t="str">
        <f>IFERROR(__xludf.DUMMYFUNCTION("""COMPUTED_VALUE"""),"Eventos da Área")</f>
        <v>Eventos da Área</v>
      </c>
    </row>
    <row r="91">
      <c r="A91" s="68" t="str">
        <f>IFERROR(__xludf.DUMMYFUNCTION("""COMPUTED_VALUE"""),"Eventos da Área")</f>
        <v>Eventos da Área</v>
      </c>
    </row>
    <row r="92">
      <c r="A92" s="68" t="str">
        <f>IFERROR(__xludf.DUMMYFUNCTION("""COMPUTED_VALUE"""),"Eventos da Área")</f>
        <v>Eventos da Área</v>
      </c>
    </row>
    <row r="93">
      <c r="A93" s="68" t="str">
        <f>IFERROR(__xludf.DUMMYFUNCTION("""COMPUTED_VALUE"""),"Eventos da Área")</f>
        <v>Eventos da Área</v>
      </c>
    </row>
    <row r="94">
      <c r="A94" s="68" t="str">
        <f>IFERROR(__xludf.DUMMYFUNCTION("""COMPUTED_VALUE"""),"Eventos da Área")</f>
        <v>Eventos da Área</v>
      </c>
    </row>
    <row r="95">
      <c r="A95" s="68" t="str">
        <f>IFERROR(__xludf.DUMMYFUNCTION("""COMPUTED_VALUE"""),"Eventos da Área")</f>
        <v>Eventos da Área</v>
      </c>
    </row>
    <row r="96">
      <c r="A96" s="68" t="str">
        <f>IFERROR(__xludf.DUMMYFUNCTION("""COMPUTED_VALUE"""),"Eventos da Área")</f>
        <v>Eventos da Área</v>
      </c>
    </row>
    <row r="97">
      <c r="A97" s="68" t="str">
        <f>IFERROR(__xludf.DUMMYFUNCTION("""COMPUTED_VALUE"""),"Eventos da Área")</f>
        <v>Eventos da Área</v>
      </c>
    </row>
    <row r="98">
      <c r="A98" s="68" t="str">
        <f>IFERROR(__xludf.DUMMYFUNCTION("""COMPUTED_VALUE"""),"Eventos da Área")</f>
        <v>Eventos da Área</v>
      </c>
    </row>
    <row r="99">
      <c r="A99" s="68" t="str">
        <f>IFERROR(__xludf.DUMMYFUNCTION("""COMPUTED_VALUE"""),"Eventos da Área")</f>
        <v>Eventos da Área</v>
      </c>
    </row>
    <row r="100">
      <c r="A100" s="68" t="str">
        <f>IFERROR(__xludf.DUMMYFUNCTION("""COMPUTED_VALUE"""),"Eventos da Área")</f>
        <v>Eventos da Área</v>
      </c>
    </row>
    <row r="101">
      <c r="A101" s="68" t="str">
        <f>IFERROR(__xludf.DUMMYFUNCTION("""COMPUTED_VALUE"""),"Eventos da Área")</f>
        <v>Eventos da Área</v>
      </c>
    </row>
  </sheetData>
  <hyperlinks>
    <hyperlink r:id="rId1" ref="E2"/>
    <hyperlink r:id="rId2" ref="I2"/>
    <hyperlink r:id="rId3" ref="E3"/>
    <hyperlink r:id="rId4" ref="I3"/>
    <hyperlink r:id="rId5" ref="E4"/>
    <hyperlink r:id="rId6" ref="I4"/>
    <hyperlink r:id="rId7" ref="E5"/>
    <hyperlink r:id="rId8" ref="I5"/>
    <hyperlink r:id="rId9" ref="E6"/>
    <hyperlink r:id="rId10" ref="E7"/>
    <hyperlink r:id="rId11" ref="E8"/>
    <hyperlink r:id="rId12" ref="I8"/>
    <hyperlink r:id="rId13" ref="E9"/>
    <hyperlink r:id="rId14" ref="I9"/>
    <hyperlink r:id="rId15" ref="E10"/>
    <hyperlink r:id="rId16" ref="I10"/>
    <hyperlink r:id="rId17" ref="E11"/>
    <hyperlink r:id="rId18" ref="I11"/>
    <hyperlink r:id="rId19" ref="E12"/>
    <hyperlink r:id="rId20" ref="E13"/>
    <hyperlink r:id="rId21" ref="I13"/>
    <hyperlink r:id="rId22" ref="E14"/>
    <hyperlink r:id="rId23" ref="I14"/>
    <hyperlink r:id="rId24" ref="E15"/>
    <hyperlink r:id="rId25" ref="E17"/>
    <hyperlink r:id="rId26" ref="I17"/>
    <hyperlink r:id="rId27" ref="E20"/>
    <hyperlink r:id="rId28" ref="I20"/>
    <hyperlink r:id="rId29" ref="J20"/>
    <hyperlink r:id="rId30" ref="E21"/>
    <hyperlink r:id="rId31" ref="I21"/>
    <hyperlink r:id="rId32" ref="E22"/>
    <hyperlink r:id="rId33" ref="I24"/>
    <hyperlink r:id="rId34" ref="I26"/>
    <hyperlink r:id="rId35" ref="I29"/>
  </hyperlinks>
  <drawing r:id="rId36"/>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66.75"/>
    <col customWidth="1" min="5" max="5" width="77.63"/>
    <col customWidth="1" min="7" max="7" width="32.38"/>
    <col customWidth="1" min="8" max="8" width="32.0"/>
    <col customWidth="1" min="9" max="9" width="35.0"/>
    <col customWidth="1" min="10" max="10" width="38.63"/>
  </cols>
  <sheetData>
    <row r="1">
      <c r="A1" s="1" t="str">
        <f>IFERROR(__xludf.DUMMYFUNCTION("importrange(""https://docs.google.com/spreadsheets/d/1ENY4kKuw6dT1gQJ22bmDoPdN18cKfdAgFUaS2iupaSQ/edit#gid=1283748378"",""CE-CAS!A1:J150"")"),"TOP")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58" t="str">
        <f>IFERROR(__xludf.DUMMYFUNCTION("""COMPUTED_VALUE"""),"Top 10")</f>
        <v>Top 10</v>
      </c>
      <c r="B2" t="str">
        <f>IFERROR(__xludf.DUMMYFUNCTION("""COMPUTED_VALUE"""),"MICCAI")</f>
        <v>MICCAI</v>
      </c>
      <c r="C2" t="str">
        <f>IFERROR(__xludf.DUMMYFUNCTION("""COMPUTED_VALUE"""),"International Conference on Medical Image Computing and Computer Assisted Intervention")</f>
        <v>International Conference on Medical Image Computing and Computer Assisted Intervention</v>
      </c>
      <c r="D2">
        <f>IFERROR(__xludf.DUMMYFUNCTION("""COMPUTED_VALUE"""),96.0)</f>
        <v>96</v>
      </c>
      <c r="E2" s="193" t="str">
        <f>IFERROR(__xludf.DUMMYFUNCTION("""COMPUTED_VALUE"""),"https://scholar.google.com/citations?hl=pt-BR&amp;view_op=list_hcore&amp;venue=QLpioUFGyGMJ.2024")</f>
        <v>https://scholar.google.com/citations?hl=pt-BR&amp;view_op=list_hcore&amp;venue=QLpioUFGyGMJ.2024</v>
      </c>
      <c r="I2" s="60" t="str">
        <f>IFERROR(__xludf.DUMMYFUNCTION("""COMPUTED_VALUE"""),"https://dblp.org/db/conf/miccai/index.html")</f>
        <v>https://dblp.org/db/conf/miccai/index.html</v>
      </c>
    </row>
    <row r="3">
      <c r="A3" s="58" t="str">
        <f>IFERROR(__xludf.DUMMYFUNCTION("""COMPUTED_VALUE"""),"Top 10")</f>
        <v>Top 10</v>
      </c>
      <c r="B3" t="str">
        <f>IFERROR(__xludf.DUMMYFUNCTION("""COMPUTED_VALUE"""),"EMBC")</f>
        <v>EMBC</v>
      </c>
      <c r="C3" t="str">
        <f>IFERROR(__xludf.DUMMYFUNCTION("""COMPUTED_VALUE"""),"International Conference of the IEEE Engineering in Medicine and Biology Society")</f>
        <v>International Conference of the IEEE Engineering in Medicine and Biology Society</v>
      </c>
      <c r="D3">
        <f>IFERROR(__xludf.DUMMYFUNCTION("""COMPUTED_VALUE"""),48.0)</f>
        <v>48</v>
      </c>
      <c r="E3" s="193" t="str">
        <f>IFERROR(__xludf.DUMMYFUNCTION("""COMPUTED_VALUE"""),"https://scholar.google.com/citations?hl=en&amp;view_op=list_hcore&amp;venue=la0gAKbHmIkJ.2024")</f>
        <v>https://scholar.google.com/citations?hl=en&amp;view_op=list_hcore&amp;venue=la0gAKbHmIkJ.2024</v>
      </c>
      <c r="H3" t="str">
        <f>IFERROR(__xludf.DUMMYFUNCTION("""COMPUTED_VALUE"""),"International Conference of the IEEE Engineering in Medicine and Biology Society, EMBC")</f>
        <v>International Conference of the IEEE Engineering in Medicine and Biology Society, EMBC</v>
      </c>
      <c r="I3" s="60" t="str">
        <f>IFERROR(__xludf.DUMMYFUNCTION("""COMPUTED_VALUE"""),"https://dblp.org/db/conf/embc/index.html")</f>
        <v>https://dblp.org/db/conf/embc/index.html</v>
      </c>
    </row>
    <row r="4">
      <c r="A4" s="58" t="str">
        <f>IFERROR(__xludf.DUMMYFUNCTION("""COMPUTED_VALUE"""),"Top 10")</f>
        <v>Top 10</v>
      </c>
      <c r="B4" t="str">
        <f>IFERROR(__xludf.DUMMYFUNCTION("""COMPUTED_VALUE"""),"AMIA")</f>
        <v>AMIA</v>
      </c>
      <c r="C4" t="str">
        <f>IFERROR(__xludf.DUMMYFUNCTION("""COMPUTED_VALUE"""),"AMIA Symposium")</f>
        <v>AMIA Symposium</v>
      </c>
      <c r="D4">
        <f>IFERROR(__xludf.DUMMYFUNCTION("""COMPUTED_VALUE"""),30.0)</f>
        <v>30</v>
      </c>
      <c r="E4" s="193" t="str">
        <f>IFERROR(__xludf.DUMMYFUNCTION("""COMPUTED_VALUE"""),"https://scholar.google.com/citations?hl=en&amp;view_op=list_hcore&amp;venue=MtRw20mokCYJ.2024")</f>
        <v>https://scholar.google.com/citations?hl=en&amp;view_op=list_hcore&amp;venue=MtRw20mokCYJ.2024</v>
      </c>
      <c r="H4" t="str">
        <f>IFERROR(__xludf.DUMMYFUNCTION("""COMPUTED_VALUE"""),"American Medical Informatics Association Annual Symposium")</f>
        <v>American Medical Informatics Association Annual Symposium</v>
      </c>
      <c r="I4" s="60" t="str">
        <f>IFERROR(__xludf.DUMMYFUNCTION("""COMPUTED_VALUE"""),"https://dblp.org/db/conf/amia/index.html")</f>
        <v>https://dblp.org/db/conf/amia/index.html</v>
      </c>
    </row>
    <row r="5">
      <c r="A5" s="58" t="str">
        <f>IFERROR(__xludf.DUMMYFUNCTION("""COMPUTED_VALUE"""),"Top 10")</f>
        <v>Top 10</v>
      </c>
      <c r="B5" t="str">
        <f>IFERROR(__xludf.DUMMYFUNCTION("""COMPUTED_VALUE"""),"MEDINFO")</f>
        <v>MEDINFO</v>
      </c>
      <c r="C5" t="str">
        <f>IFERROR(__xludf.DUMMYFUNCTION("""COMPUTED_VALUE"""),"World Congress on Medical and Health Informatics")</f>
        <v>World Congress on Medical and Health Informatics</v>
      </c>
      <c r="D5">
        <f>IFERROR(__xludf.DUMMYFUNCTION("""COMPUTED_VALUE"""),35.0)</f>
        <v>35</v>
      </c>
      <c r="E5" s="193" t="str">
        <f>IFERROR(__xludf.DUMMYFUNCTION("""COMPUTED_VALUE"""),"https://scholar.google.com.br/citations?hl=en&amp;view_op=list_hcore&amp;venue=dZLYXaFx_-EJ.2024")</f>
        <v>https://scholar.google.com.br/citations?hl=en&amp;view_op=list_hcore&amp;venue=dZLYXaFx_-EJ.2024</v>
      </c>
      <c r="H5" t="str">
        <f>IFERROR(__xludf.DUMMYFUNCTION("""COMPUTED_VALUE"""),"Studies in Health Technology and Informatics ")</f>
        <v>Studies in Health Technology and Informatics </v>
      </c>
      <c r="I5" s="60" t="str">
        <f>IFERROR(__xludf.DUMMYFUNCTION("""COMPUTED_VALUE"""),"https://dblp.org/db/conf/medinfo/index.html")</f>
        <v>https://dblp.org/db/conf/medinfo/index.html</v>
      </c>
    </row>
    <row r="6">
      <c r="A6" s="58" t="str">
        <f>IFERROR(__xludf.DUMMYFUNCTION("""COMPUTED_VALUE"""),"Top 10")</f>
        <v>Top 10</v>
      </c>
      <c r="B6" t="str">
        <f>IFERROR(__xludf.DUMMYFUNCTION("""COMPUTED_VALUE"""),"PervasiveHealth")</f>
        <v>PervasiveHealth</v>
      </c>
      <c r="C6" t="str">
        <f>IFERROR(__xludf.DUMMYFUNCTION("""COMPUTED_VALUE"""),"International Conference on Pervasive Computing Technologies for Healthcare")</f>
        <v>International Conference on Pervasive Computing Technologies for Healthcare</v>
      </c>
      <c r="D6">
        <f>IFERROR(__xludf.DUMMYFUNCTION("""COMPUTED_VALUE"""),18.0)</f>
        <v>18</v>
      </c>
      <c r="E6" s="193" t="str">
        <f>IFERROR(__xludf.DUMMYFUNCTION("""COMPUTED_VALUE"""),"https://scholar.google.com.br/citations?hl=en&amp;view_op=list_hcore&amp;venue=e4Ty9mKqcmgJ.2024")</f>
        <v>https://scholar.google.com.br/citations?hl=en&amp;view_op=list_hcore&amp;venue=e4Ty9mKqcmgJ.2024</v>
      </c>
      <c r="G6" t="str">
        <f>IFERROR(__xludf.DUMMYFUNCTION("""COMPUTED_VALUE"""),"EAI International Conference on Pervasive Computing Technologies for Healthcare")</f>
        <v>EAI International Conference on Pervasive Computing Technologies for Healthcare</v>
      </c>
      <c r="I6" s="60" t="str">
        <f>IFERROR(__xludf.DUMMYFUNCTION("""COMPUTED_VALUE"""),"https://dblp.org/db/conf/ph/index.html")</f>
        <v>https://dblp.org/db/conf/ph/index.html</v>
      </c>
    </row>
    <row r="7">
      <c r="A7" s="58" t="str">
        <f>IFERROR(__xludf.DUMMYFUNCTION("""COMPUTED_VALUE"""),"Top 10")</f>
        <v>Top 10</v>
      </c>
      <c r="B7" t="str">
        <f>IFERROR(__xludf.DUMMYFUNCTION("""COMPUTED_VALUE"""),"BCB")</f>
        <v>BCB</v>
      </c>
      <c r="C7" t="str">
        <f>IFERROR(__xludf.DUMMYFUNCTION("""COMPUTED_VALUE"""),"ACM Conference on Bioinformatics, Computational Biology, and Health Informatics")</f>
        <v>ACM Conference on Bioinformatics, Computational Biology, and Health Informatics</v>
      </c>
      <c r="D7">
        <f>IFERROR(__xludf.DUMMYFUNCTION("""COMPUTED_VALUE"""),22.0)</f>
        <v>22</v>
      </c>
      <c r="E7" s="193" t="str">
        <f>IFERROR(__xludf.DUMMYFUNCTION("""COMPUTED_VALUE"""),"https://scholar.google.com/citations?hl=en&amp;view_op=list_hcore&amp;venue=A0r8tJR7iaEJ.2024")</f>
        <v>https://scholar.google.com/citations?hl=en&amp;view_op=list_hcore&amp;venue=A0r8tJR7iaEJ.2024</v>
      </c>
      <c r="I7" s="60" t="str">
        <f>IFERROR(__xludf.DUMMYFUNCTION("""COMPUTED_VALUE"""),"https://dblp.org/db/conf/bcb/index.html")</f>
        <v>https://dblp.org/db/conf/bcb/index.html</v>
      </c>
    </row>
    <row r="8">
      <c r="A8" s="58" t="str">
        <f>IFERROR(__xludf.DUMMYFUNCTION("""COMPUTED_VALUE"""),"Top 10")</f>
        <v>Top 10</v>
      </c>
      <c r="B8" t="str">
        <f>IFERROR(__xludf.DUMMYFUNCTION("""COMPUTED_VALUE"""),"ICHI")</f>
        <v>ICHI</v>
      </c>
      <c r="C8" t="str">
        <f>IFERROR(__xludf.DUMMYFUNCTION("""COMPUTED_VALUE"""),"IEEE International Conference on Healthcare Informatics")</f>
        <v>IEEE International Conference on Healthcare Informatics</v>
      </c>
      <c r="D8">
        <f>IFERROR(__xludf.DUMMYFUNCTION("""COMPUTED_VALUE"""),20.0)</f>
        <v>20</v>
      </c>
      <c r="E8" s="193" t="str">
        <f>IFERROR(__xludf.DUMMYFUNCTION("""COMPUTED_VALUE"""),"https://scholar.google.com/citations?hl=en&amp;view_op=list_hcore&amp;venue=B2gupySN5PsJ.2024")</f>
        <v>https://scholar.google.com/citations?hl=en&amp;view_op=list_hcore&amp;venue=B2gupySN5PsJ.2024</v>
      </c>
      <c r="I8" s="60" t="str">
        <f>IFERROR(__xludf.DUMMYFUNCTION("""COMPUTED_VALUE"""),"https://dblp.org/db/conf/ichi/index.html")</f>
        <v>https://dblp.org/db/conf/ichi/index.html</v>
      </c>
    </row>
    <row r="9">
      <c r="A9" s="58" t="str">
        <f>IFERROR(__xludf.DUMMYFUNCTION("""COMPUTED_VALUE"""),"Top 10")</f>
        <v>Top 10</v>
      </c>
      <c r="B9" t="str">
        <f>IFERROR(__xludf.DUMMYFUNCTION("""COMPUTED_VALUE"""),"CBMS")</f>
        <v>CBMS</v>
      </c>
      <c r="C9" t="str">
        <f>IFERROR(__xludf.DUMMYFUNCTION("""COMPUTED_VALUE"""),"IEEE Symposium on Computer-Based Medical Systems")</f>
        <v>IEEE Symposium on Computer-Based Medical Systems</v>
      </c>
      <c r="D9">
        <f>IFERROR(__xludf.DUMMYFUNCTION("""COMPUTED_VALUE"""),25.0)</f>
        <v>25</v>
      </c>
      <c r="E9" s="193" t="str">
        <f>IFERROR(__xludf.DUMMYFUNCTION("""COMPUTED_VALUE"""),"https://scholar.google.com/citations?hl=en&amp;view_op=list_hcore&amp;venue=cFvi1RZjX1gJ.2024")</f>
        <v>https://scholar.google.com/citations?hl=en&amp;view_op=list_hcore&amp;venue=cFvi1RZjX1gJ.2024</v>
      </c>
      <c r="I9" s="60" t="str">
        <f>IFERROR(__xludf.DUMMYFUNCTION("""COMPUTED_VALUE"""),"https://dblp.org/db/conf/cbms/index.html")</f>
        <v>https://dblp.org/db/conf/cbms/index.html</v>
      </c>
    </row>
    <row r="10">
      <c r="A10" s="58" t="str">
        <f>IFERROR(__xludf.DUMMYFUNCTION("""COMPUTED_VALUE"""),"Top 10")</f>
        <v>Top 10</v>
      </c>
      <c r="B10" t="str">
        <f>IFERROR(__xludf.DUMMYFUNCTION("""COMPUTED_VALUE"""),"Healthcom")</f>
        <v>Healthcom</v>
      </c>
      <c r="C10" t="str">
        <f>IFERROR(__xludf.DUMMYFUNCTION("""COMPUTED_VALUE"""),"IEEE International Conference on e-Health Networking, Applications and Services")</f>
        <v>IEEE International Conference on e-Health Networking, Applications and Services</v>
      </c>
      <c r="D10">
        <f>IFERROR(__xludf.DUMMYFUNCTION("""COMPUTED_VALUE"""),13.0)</f>
        <v>13</v>
      </c>
      <c r="E10" s="193" t="str">
        <f>IFERROR(__xludf.DUMMYFUNCTION("""COMPUTED_VALUE"""),"https://scholar.google.com/citations?hl=en&amp;view_op=list_hcore&amp;venue=uURokrZhh7IJ.2024")</f>
        <v>https://scholar.google.com/citations?hl=en&amp;view_op=list_hcore&amp;venue=uURokrZhh7IJ.2024</v>
      </c>
      <c r="H10" t="str">
        <f>IFERROR(__xludf.DUMMYFUNCTION("""COMPUTED_VALUE"""),"IEEE International Conference on e-Health Networking, Applications and Services (Healthcom)")</f>
        <v>IEEE International Conference on e-Health Networking, Applications and Services (Healthcom)</v>
      </c>
      <c r="I10" s="60" t="str">
        <f>IFERROR(__xludf.DUMMYFUNCTION("""COMPUTED_VALUE"""),"https://dblp.org/db/conf/healthcom/index.html")</f>
        <v>https://dblp.org/db/conf/healthcom/index.html</v>
      </c>
    </row>
    <row r="11">
      <c r="A11" s="58" t="str">
        <f>IFERROR(__xludf.DUMMYFUNCTION("""COMPUTED_VALUE"""),"Top 10")</f>
        <v>Top 10</v>
      </c>
      <c r="B11" t="str">
        <f>IFERROR(__xludf.DUMMYFUNCTION("""COMPUTED_VALUE"""),"EMBS")</f>
        <v>EMBS</v>
      </c>
      <c r="C11" t="str">
        <f>IFERROR(__xludf.DUMMYFUNCTION("""COMPUTED_VALUE"""),"IEEE EMBS International Conference on Biomedical and Health Informatics")</f>
        <v>IEEE EMBS International Conference on Biomedical and Health Informatics</v>
      </c>
      <c r="D11">
        <f>IFERROR(__xludf.DUMMYFUNCTION("""COMPUTED_VALUE"""),23.0)</f>
        <v>23</v>
      </c>
      <c r="E11" s="193" t="str">
        <f>IFERROR(__xludf.DUMMYFUNCTION("""COMPUTED_VALUE"""),"https://scholar.google.com/citations?hl=en&amp;view_op=list_hcore&amp;venue=BgO65-j_oeEJ.2024")</f>
        <v>https://scholar.google.com/citations?hl=en&amp;view_op=list_hcore&amp;venue=BgO65-j_oeEJ.2024</v>
      </c>
      <c r="F11" t="str">
        <f>IFERROR(__xludf.DUMMYFUNCTION("""COMPUTED_VALUE"""),"BHI")</f>
        <v>BHI</v>
      </c>
      <c r="G11" t="str">
        <f>IFERROR(__xludf.DUMMYFUNCTION("""COMPUTED_VALUE"""),"International Conference on Biomedical and Health Informatics")</f>
        <v>International Conference on Biomedical and Health Informatics</v>
      </c>
      <c r="I11" s="60" t="str">
        <f>IFERROR(__xludf.DUMMYFUNCTION("""COMPUTED_VALUE"""),"https://dblp.org/db/conf/bhi/index.html")</f>
        <v>https://dblp.org/db/conf/bhi/index.html</v>
      </c>
    </row>
    <row r="12">
      <c r="A12" s="58" t="str">
        <f>IFERROR(__xludf.DUMMYFUNCTION("""COMPUTED_VALUE"""),"Top 20")</f>
        <v>Top 20</v>
      </c>
      <c r="B12" t="str">
        <f>IFERROR(__xludf.DUMMYFUNCTION("""COMPUTED_VALUE"""),"ISBI")</f>
        <v>ISBI</v>
      </c>
      <c r="C12" t="str">
        <f>IFERROR(__xludf.DUMMYFUNCTION("""COMPUTED_VALUE"""),"IEEE International Symposium on Biomedical Imaging")</f>
        <v>IEEE International Symposium on Biomedical Imaging</v>
      </c>
      <c r="D12">
        <f>IFERROR(__xludf.DUMMYFUNCTION("""COMPUTED_VALUE"""),53.0)</f>
        <v>53</v>
      </c>
      <c r="E12" s="193" t="str">
        <f>IFERROR(__xludf.DUMMYFUNCTION("""COMPUTED_VALUE"""),"https://scholar.google.com/citations?hl=en&amp;view_op=list_hcore&amp;venue=BvOzx47YdqIJ.2024")</f>
        <v>https://scholar.google.com/citations?hl=en&amp;view_op=list_hcore&amp;venue=BvOzx47YdqIJ.2024</v>
      </c>
      <c r="G12" t="str">
        <f>IFERROR(__xludf.DUMMYFUNCTION("""COMPUTED_VALUE"""),"IEEE International Symposium on Biomedical Imaging: From Nano to Macro")</f>
        <v>IEEE International Symposium on Biomedical Imaging: From Nano to Macro</v>
      </c>
      <c r="I12" s="60" t="str">
        <f>IFERROR(__xludf.DUMMYFUNCTION("""COMPUTED_VALUE"""),"https://dblp.org/db/conf/isbi/index.html")</f>
        <v>https://dblp.org/db/conf/isbi/index.html</v>
      </c>
    </row>
    <row r="13">
      <c r="A13" s="65" t="str">
        <f>IFERROR(__xludf.DUMMYFUNCTION("""COMPUTED_VALUE"""),"Top 20")</f>
        <v>Top 20</v>
      </c>
      <c r="B13" t="str">
        <f>IFERROR(__xludf.DUMMYFUNCTION("""COMPUTED_VALUE"""),"MIE")</f>
        <v>MIE</v>
      </c>
      <c r="C13" t="str">
        <f>IFERROR(__xludf.DUMMYFUNCTION("""COMPUTED_VALUE"""),"Medical Informatics Europe")</f>
        <v>Medical Informatics Europe</v>
      </c>
      <c r="D13">
        <f>IFERROR(__xludf.DUMMYFUNCTION("""COMPUTED_VALUE"""),35.0)</f>
        <v>35</v>
      </c>
      <c r="E13" s="193" t="str">
        <f>IFERROR(__xludf.DUMMYFUNCTION("""COMPUTED_VALUE"""),"https://scholar.google.com.br/citations?hl=en&amp;view_op=list_hcore&amp;venue=dZLYXaFx_-EJ.2024")</f>
        <v>https://scholar.google.com.br/citations?hl=en&amp;view_op=list_hcore&amp;venue=dZLYXaFx_-EJ.2024</v>
      </c>
      <c r="H13" t="str">
        <f>IFERROR(__xludf.DUMMYFUNCTION("""COMPUTED_VALUE"""),"Studies in Health Technology and Informatics ")</f>
        <v>Studies in Health Technology and Informatics </v>
      </c>
      <c r="I13" s="60" t="str">
        <f>IFERROR(__xludf.DUMMYFUNCTION("""COMPUTED_VALUE"""),"https://dblp.org/db/conf/mie/index.html")</f>
        <v>https://dblp.org/db/conf/mie/index.html</v>
      </c>
    </row>
    <row r="14">
      <c r="A14" s="65" t="str">
        <f>IFERROR(__xludf.DUMMYFUNCTION("""COMPUTED_VALUE"""),"Top 20")</f>
        <v>Top 20</v>
      </c>
      <c r="B14" t="str">
        <f>IFERROR(__xludf.DUMMYFUNCTION("""COMPUTED_VALUE"""),"HEALTHINF")</f>
        <v>HEALTHINF</v>
      </c>
      <c r="C14" t="str">
        <f>IFERROR(__xludf.DUMMYFUNCTION("""COMPUTED_VALUE"""),"International Conference on Health Informatics")</f>
        <v>International Conference on Health Informatics</v>
      </c>
      <c r="D14">
        <f>IFERROR(__xludf.DUMMYFUNCTION("""COMPUTED_VALUE"""),17.0)</f>
        <v>17</v>
      </c>
      <c r="E14" s="193" t="str">
        <f>IFERROR(__xludf.DUMMYFUNCTION("""COMPUTED_VALUE"""),"https://scholar.google.com/citations?hl=pt-BR&amp;view_op=list_hcore&amp;venue=kQsANTx_InUJ.2024")</f>
        <v>https://scholar.google.com/citations?hl=pt-BR&amp;view_op=list_hcore&amp;venue=kQsANTx_InUJ.2024</v>
      </c>
      <c r="I14" s="60" t="str">
        <f>IFERROR(__xludf.DUMMYFUNCTION("""COMPUTED_VALUE"""),"https://dblp.org/db/conf/biostec/healthinf2023.html#0001MHB23")</f>
        <v>https://dblp.org/db/conf/biostec/healthinf2023.html#0001MHB23</v>
      </c>
    </row>
    <row r="15">
      <c r="A15" s="65" t="str">
        <f>IFERROR(__xludf.DUMMYFUNCTION("""COMPUTED_VALUE"""),"Top 20")</f>
        <v>Top 20</v>
      </c>
      <c r="B15" t="str">
        <f>IFERROR(__xludf.DUMMYFUNCTION("""COMPUTED_VALUE"""),"AIME")</f>
        <v>AIME</v>
      </c>
      <c r="C15" t="str">
        <f>IFERROR(__xludf.DUMMYFUNCTION("""COMPUTED_VALUE"""),"Conference on Artificial Intelligence in Medicine")</f>
        <v>Conference on Artificial Intelligence in Medicine</v>
      </c>
      <c r="D15">
        <f>IFERROR(__xludf.DUMMYFUNCTION("""COMPUTED_VALUE"""),19.0)</f>
        <v>19</v>
      </c>
      <c r="E15" s="193" t="str">
        <f>IFERROR(__xludf.DUMMYFUNCTION("""COMPUTED_VALUE"""),"https://scholar.google.com.br/citations?hl=en&amp;view_op=list_hcore&amp;venue=G4epD5rVtawJ.2024")</f>
        <v>https://scholar.google.com.br/citations?hl=en&amp;view_op=list_hcore&amp;venue=G4epD5rVtawJ.2024</v>
      </c>
      <c r="H15" t="str">
        <f>IFERROR(__xludf.DUMMYFUNCTION("""COMPUTED_VALUE"""),"Artificial Intelligence in Medicine")</f>
        <v>Artificial Intelligence in Medicine</v>
      </c>
      <c r="I15" s="60" t="str">
        <f>IFERROR(__xludf.DUMMYFUNCTION("""COMPUTED_VALUE"""),"https://dblp.org/db/conf/aime/index.html")</f>
        <v>https://dblp.org/db/conf/aime/index.html</v>
      </c>
    </row>
    <row r="16">
      <c r="A16" s="65" t="str">
        <f>IFERROR(__xludf.DUMMYFUNCTION("""COMPUTED_VALUE"""),"Top 20")</f>
        <v>Top 20</v>
      </c>
      <c r="B16" t="str">
        <f>IFERROR(__xludf.DUMMYFUNCTION("""COMPUTED_VALUE"""),"ICVR")</f>
        <v>ICVR</v>
      </c>
      <c r="C16" t="str">
        <f>IFERROR(__xludf.DUMMYFUNCTION("""COMPUTED_VALUE"""),"International Conference on Virtual Rehabilitation")</f>
        <v>International Conference on Virtual Rehabilitation</v>
      </c>
      <c r="D16">
        <f>IFERROR(__xludf.DUMMYFUNCTION("""COMPUTED_VALUE"""),10.0)</f>
        <v>10</v>
      </c>
      <c r="E16" s="193" t="str">
        <f>IFERROR(__xludf.DUMMYFUNCTION("""COMPUTED_VALUE"""),"https://scholar.google.com/citations?hl=pt-BR&amp;view_op=list_hcore&amp;venue=rw5ieHT7BnMJ.2024")</f>
        <v>https://scholar.google.com/citations?hl=pt-BR&amp;view_op=list_hcore&amp;venue=rw5ieHT7BnMJ.2024</v>
      </c>
    </row>
    <row r="17">
      <c r="A17" s="65" t="str">
        <f>IFERROR(__xludf.DUMMYFUNCTION("""COMPUTED_VALUE"""),"Top 20")</f>
        <v>Top 20</v>
      </c>
      <c r="B17" t="str">
        <f>IFERROR(__xludf.DUMMYFUNCTION("""COMPUTED_VALUE"""),"BSN")</f>
        <v>BSN</v>
      </c>
      <c r="C17" t="str">
        <f>IFERROR(__xludf.DUMMYFUNCTION("""COMPUTED_VALUE"""),"IEEE-EMBS INTERNATIONAL CONFERENCE ON WEARABLE AND IMPLANTABLE BODY SENSOR NETWORKS")</f>
        <v>IEEE-EMBS INTERNATIONAL CONFERENCE ON WEARABLE AND IMPLANTABLE BODY SENSOR NETWORKS</v>
      </c>
      <c r="D17">
        <f>IFERROR(__xludf.DUMMYFUNCTION("""COMPUTED_VALUE"""),15.0)</f>
        <v>15</v>
      </c>
      <c r="E17" s="193" t="str">
        <f>IFERROR(__xludf.DUMMYFUNCTION("""COMPUTED_VALUE"""),"https://scholar.google.com.br/citations?hl=en&amp;view_op=list_hcore&amp;venue=L-flmcutX4sJ.2024")</f>
        <v>https://scholar.google.com.br/citations?hl=en&amp;view_op=list_hcore&amp;venue=L-flmcutX4sJ.2024</v>
      </c>
      <c r="G17" t="str">
        <f>IFERROR(__xludf.DUMMYFUNCTION("""COMPUTED_VALUE"""),"International Conference on Wearable and Implantable Body Sensor Networks")</f>
        <v>International Conference on Wearable and Implantable Body Sensor Networks</v>
      </c>
      <c r="H17" t="str">
        <f>IFERROR(__xludf.DUMMYFUNCTION("""COMPUTED_VALUE"""),"International Workshop on Wearable and Implantable Body Sensor Networks")</f>
        <v>International Workshop on Wearable and Implantable Body Sensor Networks</v>
      </c>
      <c r="I17" s="60" t="str">
        <f>IFERROR(__xludf.DUMMYFUNCTION("""COMPUTED_VALUE"""),"https://dblp.org/db/conf/bsn/index.html")</f>
        <v>https://dblp.org/db/conf/bsn/index.html</v>
      </c>
    </row>
    <row r="18">
      <c r="A18" s="65" t="str">
        <f>IFERROR(__xludf.DUMMYFUNCTION("""COMPUTED_VALUE"""),"Top 20")</f>
        <v>Top 20</v>
      </c>
      <c r="B18" t="str">
        <f>IFERROR(__xludf.DUMMYFUNCTION("""COMPUTED_VALUE"""),"SBCAS")</f>
        <v>SBCAS</v>
      </c>
      <c r="C18" t="str">
        <f>IFERROR(__xludf.DUMMYFUNCTION("""COMPUTED_VALUE"""),"Simpósio Brasileiro de Computação Aplicada à Saúde")</f>
        <v>Simpósio Brasileiro de Computação Aplicada à Saúde</v>
      </c>
      <c r="D18">
        <f>IFERROR(__xludf.DUMMYFUNCTION("""COMPUTED_VALUE"""),7.0)</f>
        <v>7</v>
      </c>
      <c r="E18" s="193" t="str">
        <f>IFERROR(__xludf.DUMMYFUNCTION("""COMPUTED_VALUE"""),"https://scholar.google.com/citations?hl=pt-BR&amp;view_op=list_hcore&amp;venue=FToOQu3w6DQJ.2024")</f>
        <v>https://scholar.google.com/citations?hl=pt-BR&amp;view_op=list_hcore&amp;venue=FToOQu3w6DQJ.2024</v>
      </c>
      <c r="J18" s="60" t="str">
        <f>IFERROR(__xludf.DUMMYFUNCTION("""COMPUTED_VALUE"""),"https://sol.sbc.org.br/index.php/sbcas/issue/archive")</f>
        <v>https://sol.sbc.org.br/index.php/sbcas/issue/archive</v>
      </c>
    </row>
    <row r="19">
      <c r="A19" s="65" t="str">
        <f>IFERROR(__xludf.DUMMYFUNCTION("""COMPUTED_VALUE"""),"Top 20")</f>
        <v>Top 20</v>
      </c>
      <c r="B19" t="str">
        <f>IFERROR(__xludf.DUMMYFUNCTION("""COMPUTED_VALUE"""),"IWSSIP")</f>
        <v>IWSSIP</v>
      </c>
      <c r="C19" t="str">
        <f>IFERROR(__xludf.DUMMYFUNCTION("""COMPUTED_VALUE"""),"International Conference on Systems, Signals and Image Processing")</f>
        <v>International Conference on Systems, Signals and Image Processing</v>
      </c>
      <c r="D19">
        <f>IFERROR(__xludf.DUMMYFUNCTION("""COMPUTED_VALUE"""),17.0)</f>
        <v>17</v>
      </c>
      <c r="E19" s="193" t="str">
        <f>IFERROR(__xludf.DUMMYFUNCTION("""COMPUTED_VALUE"""),"https://scholar.google.com/citations?hl=en&amp;view_op=list_hcore&amp;venue=GsvS_jxfxCoJ.2024")</f>
        <v>https://scholar.google.com/citations?hl=en&amp;view_op=list_hcore&amp;venue=GsvS_jxfxCoJ.2024</v>
      </c>
      <c r="I19" s="60" t="str">
        <f>IFERROR(__xludf.DUMMYFUNCTION("""COMPUTED_VALUE"""),"https://dblp.org/db/conf/iwssip/index.html")</f>
        <v>https://dblp.org/db/conf/iwssip/index.html</v>
      </c>
    </row>
    <row r="20">
      <c r="A20" s="65" t="str">
        <f>IFERROR(__xludf.DUMMYFUNCTION("""COMPUTED_VALUE"""),"Top 20")</f>
        <v>Top 20</v>
      </c>
      <c r="B20" t="str">
        <f>IFERROR(__xludf.DUMMYFUNCTION("""COMPUTED_VALUE"""),"VISAPP ")</f>
        <v>VISAPP </v>
      </c>
      <c r="C20" t="str">
        <f>IFERROR(__xludf.DUMMYFUNCTION("""COMPUTED_VALUE"""),"International Conference on Computer Vision Theory and Applications")</f>
        <v>International Conference on Computer Vision Theory and Applications</v>
      </c>
      <c r="D20">
        <f>IFERROR(__xludf.DUMMYFUNCTION("""COMPUTED_VALUE"""),31.0)</f>
        <v>31</v>
      </c>
      <c r="E20" s="193" t="str">
        <f>IFERROR(__xludf.DUMMYFUNCTION("""COMPUTED_VALUE"""),"https://scholar.google.com/citations?hl=en&amp;view_op=list_hcore&amp;venue=ljGmmUmHfUwJ.2024")</f>
        <v>https://scholar.google.com/citations?hl=en&amp;view_op=list_hcore&amp;venue=ljGmmUmHfUwJ.2024</v>
      </c>
      <c r="I20" s="60" t="str">
        <f>IFERROR(__xludf.DUMMYFUNCTION("""COMPUTED_VALUE"""),"https://dblp.org/db/conf/visapp/index.html")</f>
        <v>https://dblp.org/db/conf/visapp/index.html</v>
      </c>
    </row>
    <row r="21">
      <c r="A21" s="65" t="str">
        <f>IFERROR(__xludf.DUMMYFUNCTION("""COMPUTED_VALUE"""),"Top 20")</f>
        <v>Top 20</v>
      </c>
      <c r="B21" t="str">
        <f>IFERROR(__xludf.DUMMYFUNCTION("""COMPUTED_VALUE"""),"ISDA")</f>
        <v>ISDA</v>
      </c>
      <c r="C21" t="str">
        <f>IFERROR(__xludf.DUMMYFUNCTION("""COMPUTED_VALUE"""),"International Conference on Intelligent Systems Design and Applications        ")</f>
        <v>International Conference on Intelligent Systems Design and Applications        </v>
      </c>
      <c r="D21">
        <f>IFERROR(__xludf.DUMMYFUNCTION("""COMPUTED_VALUE"""),13.0)</f>
        <v>13</v>
      </c>
      <c r="E21" s="193" t="str">
        <f>IFERROR(__xludf.DUMMYFUNCTION("""COMPUTED_VALUE"""),"https://scholar.google.com/citations?hl=pt-BR&amp;view_op=list_hcore&amp;venue=vtykNI3af7IJ.2024")</f>
        <v>https://scholar.google.com/citations?hl=pt-BR&amp;view_op=list_hcore&amp;venue=vtykNI3af7IJ.2024</v>
      </c>
      <c r="I21" s="60" t="str">
        <f>IFERROR(__xludf.DUMMYFUNCTION("""COMPUTED_VALUE"""),"https://dblp.org/db/conf/isda/index.html")</f>
        <v>https://dblp.org/db/conf/isda/index.html</v>
      </c>
    </row>
    <row r="22">
      <c r="A22" s="68" t="str">
        <f>IFERROR(__xludf.DUMMYFUNCTION("""COMPUTED_VALUE"""),"Eventos da Área")</f>
        <v>Eventos da Área</v>
      </c>
      <c r="B22" t="str">
        <f>IFERROR(__xludf.DUMMYFUNCTION("""COMPUTED_VALUE"""),"CMBBE")</f>
        <v>CMBBE</v>
      </c>
      <c r="C22" t="str">
        <f>IFERROR(__xludf.DUMMYFUNCTION("""COMPUTED_VALUE"""),"International Symposium on Computer Methods in Biomechanics and Biomedical Engineering")</f>
        <v>International Symposium on Computer Methods in Biomechanics and Biomedical Engineering</v>
      </c>
      <c r="E22" s="193"/>
    </row>
    <row r="23">
      <c r="A23" s="68" t="str">
        <f>IFERROR(__xludf.DUMMYFUNCTION("""COMPUTED_VALUE"""),"Eventos da Área")</f>
        <v>Eventos da Área</v>
      </c>
      <c r="B23" t="str">
        <f>IFERROR(__xludf.DUMMYFUNCTION("""COMPUTED_VALUE"""),"CBIS")</f>
        <v>CBIS</v>
      </c>
      <c r="C23" t="str">
        <f>IFERROR(__xludf.DUMMYFUNCTION("""COMPUTED_VALUE"""),"Congresso Brasileiro de Informática em Saúde")</f>
        <v>Congresso Brasileiro de Informática em Saúde</v>
      </c>
      <c r="E23" s="193"/>
    </row>
    <row r="24">
      <c r="A24" s="68" t="str">
        <f>IFERROR(__xludf.DUMMYFUNCTION("""COMPUTED_VALUE"""),"Eventos da Área")</f>
        <v>Eventos da Área</v>
      </c>
      <c r="B24" t="str">
        <f>IFERROR(__xludf.DUMMYFUNCTION("""COMPUTED_VALUE"""),"CBEB")</f>
        <v>CBEB</v>
      </c>
      <c r="C24" t="str">
        <f>IFERROR(__xludf.DUMMYFUNCTION("""COMPUTED_VALUE"""),"Congresso Brasileiro de Engenharia Biomédica")</f>
        <v>Congresso Brasileiro de Engenharia Biomédica</v>
      </c>
    </row>
    <row r="25">
      <c r="A25" s="68" t="str">
        <f>IFERROR(__xludf.DUMMYFUNCTION("""COMPUTED_VALUE"""),"Eventos da Área")</f>
        <v>Eventos da Área</v>
      </c>
      <c r="B25" t="str">
        <f>IFERROR(__xludf.DUMMYFUNCTION("""COMPUTED_VALUE"""),"CBTMS")</f>
        <v>CBTMS</v>
      </c>
      <c r="C25" t="str">
        <f>IFERROR(__xludf.DUMMYFUNCTION("""COMPUTED_VALUE"""),"Congresso Brasileiro de Telemedicina e Telesaúde")</f>
        <v>Congresso Brasileiro de Telemedicina e Telesaúde</v>
      </c>
    </row>
    <row r="26">
      <c r="A26" s="68" t="str">
        <f>IFERROR(__xludf.DUMMYFUNCTION("""COMPUTED_VALUE"""),"Eventos da Área")</f>
        <v>Eventos da Área</v>
      </c>
      <c r="B26" t="str">
        <f>IFERROR(__xludf.DUMMYFUNCTION("""COMPUTED_VALUE"""),"IPDLN")</f>
        <v>IPDLN</v>
      </c>
      <c r="C26" t="str">
        <f>IFERROR(__xludf.DUMMYFUNCTION("""COMPUTED_VALUE"""),"International Population Data Linkage Network")</f>
        <v>International Population Data Linkage Network</v>
      </c>
    </row>
    <row r="27">
      <c r="A27" s="68" t="str">
        <f>IFERROR(__xludf.DUMMYFUNCTION("""COMPUTED_VALUE"""),"Eventos da Área")</f>
        <v>Eventos da Área</v>
      </c>
    </row>
    <row r="28">
      <c r="A28" s="68" t="str">
        <f>IFERROR(__xludf.DUMMYFUNCTION("""COMPUTED_VALUE"""),"Eventos da Área")</f>
        <v>Eventos da Área</v>
      </c>
    </row>
    <row r="29">
      <c r="A29" s="68" t="str">
        <f>IFERROR(__xludf.DUMMYFUNCTION("""COMPUTED_VALUE"""),"Eventos da Área")</f>
        <v>Eventos da Área</v>
      </c>
    </row>
    <row r="30">
      <c r="A30" s="68" t="str">
        <f>IFERROR(__xludf.DUMMYFUNCTION("""COMPUTED_VALUE"""),"Eventos da Área")</f>
        <v>Eventos da Área</v>
      </c>
    </row>
    <row r="31">
      <c r="A31" s="68" t="str">
        <f>IFERROR(__xludf.DUMMYFUNCTION("""COMPUTED_VALUE"""),"Eventos da Área")</f>
        <v>Eventos da Área</v>
      </c>
    </row>
    <row r="32">
      <c r="A32" s="68" t="str">
        <f>IFERROR(__xludf.DUMMYFUNCTION("""COMPUTED_VALUE"""),"Eventos da Área")</f>
        <v>Eventos da Área</v>
      </c>
    </row>
    <row r="33">
      <c r="A33" s="68" t="str">
        <f>IFERROR(__xludf.DUMMYFUNCTION("""COMPUTED_VALUE"""),"Eventos da Área")</f>
        <v>Eventos da Área</v>
      </c>
    </row>
    <row r="34">
      <c r="A34" s="68" t="str">
        <f>IFERROR(__xludf.DUMMYFUNCTION("""COMPUTED_VALUE"""),"Eventos da Área")</f>
        <v>Eventos da Área</v>
      </c>
    </row>
    <row r="35">
      <c r="A35" s="68" t="str">
        <f>IFERROR(__xludf.DUMMYFUNCTION("""COMPUTED_VALUE"""),"Eventos da Área")</f>
        <v>Eventos da Área</v>
      </c>
    </row>
    <row r="36">
      <c r="A36" s="68" t="str">
        <f>IFERROR(__xludf.DUMMYFUNCTION("""COMPUTED_VALUE"""),"Eventos da Área")</f>
        <v>Eventos da Área</v>
      </c>
    </row>
    <row r="37">
      <c r="A37" s="68" t="str">
        <f>IFERROR(__xludf.DUMMYFUNCTION("""COMPUTED_VALUE"""),"Eventos da Área")</f>
        <v>Eventos da Área</v>
      </c>
    </row>
    <row r="38">
      <c r="A38" s="68" t="str">
        <f>IFERROR(__xludf.DUMMYFUNCTION("""COMPUTED_VALUE"""),"Eventos da Área")</f>
        <v>Eventos da Área</v>
      </c>
    </row>
    <row r="39">
      <c r="A39" s="68" t="str">
        <f>IFERROR(__xludf.DUMMYFUNCTION("""COMPUTED_VALUE"""),"Eventos da Área")</f>
        <v>Eventos da Área</v>
      </c>
    </row>
    <row r="40">
      <c r="A40" s="68" t="str">
        <f>IFERROR(__xludf.DUMMYFUNCTION("""COMPUTED_VALUE"""),"Eventos da Área")</f>
        <v>Eventos da Área</v>
      </c>
    </row>
    <row r="41">
      <c r="A41" s="68" t="str">
        <f>IFERROR(__xludf.DUMMYFUNCTION("""COMPUTED_VALUE"""),"Eventos da Área")</f>
        <v>Eventos da Área</v>
      </c>
    </row>
    <row r="42">
      <c r="A42" s="68" t="str">
        <f>IFERROR(__xludf.DUMMYFUNCTION("""COMPUTED_VALUE"""),"Eventos da Área")</f>
        <v>Eventos da Área</v>
      </c>
    </row>
    <row r="43">
      <c r="A43" s="68" t="str">
        <f>IFERROR(__xludf.DUMMYFUNCTION("""COMPUTED_VALUE"""),"Eventos da Área")</f>
        <v>Eventos da Área</v>
      </c>
    </row>
    <row r="44">
      <c r="A44" s="68" t="str">
        <f>IFERROR(__xludf.DUMMYFUNCTION("""COMPUTED_VALUE"""),"Eventos da Área")</f>
        <v>Eventos da Área</v>
      </c>
    </row>
    <row r="45">
      <c r="A45" s="68" t="str">
        <f>IFERROR(__xludf.DUMMYFUNCTION("""COMPUTED_VALUE"""),"Eventos da Área")</f>
        <v>Eventos da Área</v>
      </c>
    </row>
    <row r="46">
      <c r="A46" s="68" t="str">
        <f>IFERROR(__xludf.DUMMYFUNCTION("""COMPUTED_VALUE"""),"Eventos da Área")</f>
        <v>Eventos da Área</v>
      </c>
    </row>
    <row r="47">
      <c r="A47" s="68" t="str">
        <f>IFERROR(__xludf.DUMMYFUNCTION("""COMPUTED_VALUE"""),"Eventos da Área")</f>
        <v>Eventos da Área</v>
      </c>
    </row>
    <row r="48">
      <c r="A48" s="68" t="str">
        <f>IFERROR(__xludf.DUMMYFUNCTION("""COMPUTED_VALUE"""),"Eventos da Área")</f>
        <v>Eventos da Área</v>
      </c>
    </row>
    <row r="49">
      <c r="A49" s="68" t="str">
        <f>IFERROR(__xludf.DUMMYFUNCTION("""COMPUTED_VALUE"""),"Eventos da Área")</f>
        <v>Eventos da Área</v>
      </c>
    </row>
    <row r="50">
      <c r="A50" s="68" t="str">
        <f>IFERROR(__xludf.DUMMYFUNCTION("""COMPUTED_VALUE"""),"Eventos da Área")</f>
        <v>Eventos da Área</v>
      </c>
    </row>
    <row r="51">
      <c r="A51" s="68" t="str">
        <f>IFERROR(__xludf.DUMMYFUNCTION("""COMPUTED_VALUE"""),"Eventos da Área")</f>
        <v>Eventos da Área</v>
      </c>
    </row>
    <row r="52">
      <c r="A52" s="68" t="str">
        <f>IFERROR(__xludf.DUMMYFUNCTION("""COMPUTED_VALUE"""),"Eventos da Área")</f>
        <v>Eventos da Área</v>
      </c>
    </row>
    <row r="53">
      <c r="A53" s="68" t="str">
        <f>IFERROR(__xludf.DUMMYFUNCTION("""COMPUTED_VALUE"""),"Eventos da Área")</f>
        <v>Eventos da Área</v>
      </c>
    </row>
    <row r="54">
      <c r="A54" s="68" t="str">
        <f>IFERROR(__xludf.DUMMYFUNCTION("""COMPUTED_VALUE"""),"Eventos da Área")</f>
        <v>Eventos da Área</v>
      </c>
    </row>
    <row r="55">
      <c r="A55" s="68" t="str">
        <f>IFERROR(__xludf.DUMMYFUNCTION("""COMPUTED_VALUE"""),"Eventos da Área")</f>
        <v>Eventos da Área</v>
      </c>
    </row>
    <row r="56">
      <c r="A56" s="68" t="str">
        <f>IFERROR(__xludf.DUMMYFUNCTION("""COMPUTED_VALUE"""),"Eventos da Área")</f>
        <v>Eventos da Área</v>
      </c>
    </row>
    <row r="57">
      <c r="A57" s="68" t="str">
        <f>IFERROR(__xludf.DUMMYFUNCTION("""COMPUTED_VALUE"""),"Eventos da Área")</f>
        <v>Eventos da Área</v>
      </c>
    </row>
    <row r="58">
      <c r="A58" s="68" t="str">
        <f>IFERROR(__xludf.DUMMYFUNCTION("""COMPUTED_VALUE"""),"Eventos da Área")</f>
        <v>Eventos da Área</v>
      </c>
    </row>
    <row r="59">
      <c r="A59" s="68" t="str">
        <f>IFERROR(__xludf.DUMMYFUNCTION("""COMPUTED_VALUE"""),"Eventos da Área")</f>
        <v>Eventos da Área</v>
      </c>
    </row>
    <row r="60">
      <c r="A60" s="68" t="str">
        <f>IFERROR(__xludf.DUMMYFUNCTION("""COMPUTED_VALUE"""),"Eventos da Área")</f>
        <v>Eventos da Área</v>
      </c>
    </row>
    <row r="61">
      <c r="A61" s="68" t="str">
        <f>IFERROR(__xludf.DUMMYFUNCTION("""COMPUTED_VALUE"""),"Eventos da Área")</f>
        <v>Eventos da Área</v>
      </c>
    </row>
    <row r="62">
      <c r="A62" s="68" t="str">
        <f>IFERROR(__xludf.DUMMYFUNCTION("""COMPUTED_VALUE"""),"Eventos da Área")</f>
        <v>Eventos da Área</v>
      </c>
    </row>
    <row r="63">
      <c r="A63" s="68" t="str">
        <f>IFERROR(__xludf.DUMMYFUNCTION("""COMPUTED_VALUE"""),"Eventos da Área")</f>
        <v>Eventos da Área</v>
      </c>
    </row>
    <row r="64">
      <c r="A64" s="68" t="str">
        <f>IFERROR(__xludf.DUMMYFUNCTION("""COMPUTED_VALUE"""),"Eventos da Área")</f>
        <v>Eventos da Área</v>
      </c>
    </row>
    <row r="65">
      <c r="A65" s="68" t="str">
        <f>IFERROR(__xludf.DUMMYFUNCTION("""COMPUTED_VALUE"""),"Eventos da Área")</f>
        <v>Eventos da Área</v>
      </c>
    </row>
    <row r="66">
      <c r="A66" s="68" t="str">
        <f>IFERROR(__xludf.DUMMYFUNCTION("""COMPUTED_VALUE"""),"Eventos da Área")</f>
        <v>Eventos da Área</v>
      </c>
    </row>
    <row r="67">
      <c r="A67" s="68" t="str">
        <f>IFERROR(__xludf.DUMMYFUNCTION("""COMPUTED_VALUE"""),"Eventos da Área")</f>
        <v>Eventos da Área</v>
      </c>
    </row>
    <row r="68">
      <c r="A68" s="68" t="str">
        <f>IFERROR(__xludf.DUMMYFUNCTION("""COMPUTED_VALUE"""),"Eventos da Área")</f>
        <v>Eventos da Área</v>
      </c>
    </row>
    <row r="69">
      <c r="A69" s="68" t="str">
        <f>IFERROR(__xludf.DUMMYFUNCTION("""COMPUTED_VALUE"""),"Eventos da Área")</f>
        <v>Eventos da Área</v>
      </c>
    </row>
    <row r="70">
      <c r="A70" s="68" t="str">
        <f>IFERROR(__xludf.DUMMYFUNCTION("""COMPUTED_VALUE"""),"Eventos da Área")</f>
        <v>Eventos da Área</v>
      </c>
    </row>
    <row r="71">
      <c r="A71" s="68" t="str">
        <f>IFERROR(__xludf.DUMMYFUNCTION("""COMPUTED_VALUE"""),"Eventos da Área")</f>
        <v>Eventos da Área</v>
      </c>
    </row>
    <row r="72">
      <c r="A72" s="68" t="str">
        <f>IFERROR(__xludf.DUMMYFUNCTION("""COMPUTED_VALUE"""),"Eventos da Área")</f>
        <v>Eventos da Área</v>
      </c>
    </row>
    <row r="73">
      <c r="A73" s="68" t="str">
        <f>IFERROR(__xludf.DUMMYFUNCTION("""COMPUTED_VALUE"""),"Eventos da Área")</f>
        <v>Eventos da Área</v>
      </c>
    </row>
    <row r="74">
      <c r="A74" s="68" t="str">
        <f>IFERROR(__xludf.DUMMYFUNCTION("""COMPUTED_VALUE"""),"Eventos da Área")</f>
        <v>Eventos da Área</v>
      </c>
    </row>
    <row r="75">
      <c r="A75" s="68" t="str">
        <f>IFERROR(__xludf.DUMMYFUNCTION("""COMPUTED_VALUE"""),"Eventos da Área")</f>
        <v>Eventos da Área</v>
      </c>
    </row>
    <row r="76">
      <c r="A76" s="68" t="str">
        <f>IFERROR(__xludf.DUMMYFUNCTION("""COMPUTED_VALUE"""),"Eventos da Área")</f>
        <v>Eventos da Área</v>
      </c>
    </row>
    <row r="77">
      <c r="A77" s="68" t="str">
        <f>IFERROR(__xludf.DUMMYFUNCTION("""COMPUTED_VALUE"""),"Eventos da Área")</f>
        <v>Eventos da Área</v>
      </c>
    </row>
    <row r="78">
      <c r="A78" s="68" t="str">
        <f>IFERROR(__xludf.DUMMYFUNCTION("""COMPUTED_VALUE"""),"Eventos da Área")</f>
        <v>Eventos da Área</v>
      </c>
    </row>
    <row r="79">
      <c r="A79" s="68" t="str">
        <f>IFERROR(__xludf.DUMMYFUNCTION("""COMPUTED_VALUE"""),"Eventos da Área")</f>
        <v>Eventos da Área</v>
      </c>
    </row>
    <row r="80">
      <c r="A80" s="68" t="str">
        <f>IFERROR(__xludf.DUMMYFUNCTION("""COMPUTED_VALUE"""),"Eventos da Área")</f>
        <v>Eventos da Área</v>
      </c>
    </row>
    <row r="81">
      <c r="A81" s="68" t="str">
        <f>IFERROR(__xludf.DUMMYFUNCTION("""COMPUTED_VALUE"""),"Eventos da Área")</f>
        <v>Eventos da Área</v>
      </c>
    </row>
    <row r="82">
      <c r="A82" s="68" t="str">
        <f>IFERROR(__xludf.DUMMYFUNCTION("""COMPUTED_VALUE"""),"Eventos da Área")</f>
        <v>Eventos da Área</v>
      </c>
    </row>
    <row r="83">
      <c r="A83" s="68" t="str">
        <f>IFERROR(__xludf.DUMMYFUNCTION("""COMPUTED_VALUE"""),"Eventos da Área")</f>
        <v>Eventos da Área</v>
      </c>
    </row>
    <row r="84">
      <c r="A84" s="68" t="str">
        <f>IFERROR(__xludf.DUMMYFUNCTION("""COMPUTED_VALUE"""),"Eventos da Área")</f>
        <v>Eventos da Área</v>
      </c>
    </row>
    <row r="85">
      <c r="A85" s="68" t="str">
        <f>IFERROR(__xludf.DUMMYFUNCTION("""COMPUTED_VALUE"""),"Eventos da Área")</f>
        <v>Eventos da Área</v>
      </c>
    </row>
    <row r="86">
      <c r="A86" s="68" t="str">
        <f>IFERROR(__xludf.DUMMYFUNCTION("""COMPUTED_VALUE"""),"Eventos da Área")</f>
        <v>Eventos da Área</v>
      </c>
    </row>
    <row r="87">
      <c r="A87" s="68" t="str">
        <f>IFERROR(__xludf.DUMMYFUNCTION("""COMPUTED_VALUE"""),"Eventos da Área")</f>
        <v>Eventos da Área</v>
      </c>
    </row>
    <row r="88">
      <c r="A88" s="68" t="str">
        <f>IFERROR(__xludf.DUMMYFUNCTION("""COMPUTED_VALUE"""),"Eventos da Área")</f>
        <v>Eventos da Área</v>
      </c>
    </row>
    <row r="89">
      <c r="A89" s="68" t="str">
        <f>IFERROR(__xludf.DUMMYFUNCTION("""COMPUTED_VALUE"""),"Eventos da Área")</f>
        <v>Eventos da Área</v>
      </c>
    </row>
    <row r="90">
      <c r="A90" s="68" t="str">
        <f>IFERROR(__xludf.DUMMYFUNCTION("""COMPUTED_VALUE"""),"Eventos da Área")</f>
        <v>Eventos da Área</v>
      </c>
    </row>
    <row r="91">
      <c r="A91" s="68" t="str">
        <f>IFERROR(__xludf.DUMMYFUNCTION("""COMPUTED_VALUE"""),"Eventos da Área")</f>
        <v>Eventos da Área</v>
      </c>
    </row>
    <row r="92">
      <c r="A92" s="68" t="str">
        <f>IFERROR(__xludf.DUMMYFUNCTION("""COMPUTED_VALUE"""),"Eventos da Área")</f>
        <v>Eventos da Área</v>
      </c>
    </row>
    <row r="93">
      <c r="A93" s="68" t="str">
        <f>IFERROR(__xludf.DUMMYFUNCTION("""COMPUTED_VALUE"""),"Eventos da Área")</f>
        <v>Eventos da Área</v>
      </c>
    </row>
    <row r="94">
      <c r="A94" s="68" t="str">
        <f>IFERROR(__xludf.DUMMYFUNCTION("""COMPUTED_VALUE"""),"Eventos da Área")</f>
        <v>Eventos da Área</v>
      </c>
    </row>
    <row r="95">
      <c r="A95" s="68" t="str">
        <f>IFERROR(__xludf.DUMMYFUNCTION("""COMPUTED_VALUE"""),"Eventos da Área")</f>
        <v>Eventos da Área</v>
      </c>
    </row>
    <row r="96">
      <c r="A96" s="68" t="str">
        <f>IFERROR(__xludf.DUMMYFUNCTION("""COMPUTED_VALUE"""),"Eventos da Área")</f>
        <v>Eventos da Área</v>
      </c>
    </row>
    <row r="97">
      <c r="A97" s="68" t="str">
        <f>IFERROR(__xludf.DUMMYFUNCTION("""COMPUTED_VALUE"""),"Eventos da Área")</f>
        <v>Eventos da Área</v>
      </c>
    </row>
    <row r="98">
      <c r="A98" s="68" t="str">
        <f>IFERROR(__xludf.DUMMYFUNCTION("""COMPUTED_VALUE"""),"Eventos da Área")</f>
        <v>Eventos da Área</v>
      </c>
    </row>
    <row r="99">
      <c r="A99" s="68" t="str">
        <f>IFERROR(__xludf.DUMMYFUNCTION("""COMPUTED_VALUE"""),"Eventos da Área")</f>
        <v>Eventos da Área</v>
      </c>
    </row>
    <row r="100">
      <c r="A100" s="68" t="str">
        <f>IFERROR(__xludf.DUMMYFUNCTION("""COMPUTED_VALUE"""),"Eventos da Área")</f>
        <v>Eventos da Área</v>
      </c>
    </row>
    <row r="101">
      <c r="A101" s="68" t="str">
        <f>IFERROR(__xludf.DUMMYFUNCTION("""COMPUTED_VALUE"""),"Eventos da Área")</f>
        <v>Eventos da Área</v>
      </c>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E10"/>
    <hyperlink r:id="rId18" ref="I10"/>
    <hyperlink r:id="rId19" ref="E11"/>
    <hyperlink r:id="rId20" ref="I11"/>
    <hyperlink r:id="rId21" ref="E12"/>
    <hyperlink r:id="rId22" ref="I12"/>
    <hyperlink r:id="rId23" ref="E13"/>
    <hyperlink r:id="rId24" ref="I13"/>
    <hyperlink r:id="rId25" ref="E14"/>
    <hyperlink r:id="rId26" location="0001MHB23" ref="I14"/>
    <hyperlink r:id="rId27" ref="E15"/>
    <hyperlink r:id="rId28" ref="I15"/>
    <hyperlink r:id="rId29" ref="E16"/>
    <hyperlink r:id="rId30" ref="E17"/>
    <hyperlink r:id="rId31" ref="I17"/>
    <hyperlink r:id="rId32" ref="E18"/>
    <hyperlink r:id="rId33" ref="J18"/>
    <hyperlink r:id="rId34" ref="E19"/>
    <hyperlink r:id="rId35" ref="I19"/>
    <hyperlink r:id="rId36" ref="E20"/>
    <hyperlink r:id="rId37" ref="I20"/>
    <hyperlink r:id="rId38" ref="E21"/>
    <hyperlink r:id="rId39" ref="I21"/>
  </hyperlinks>
  <drawing r:id="rId40"/>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45.13"/>
    <col customWidth="1" min="5" max="5" width="81.5"/>
    <col customWidth="1" min="7" max="7" width="31.88"/>
    <col customWidth="1" min="8" max="8" width="37.38"/>
    <col customWidth="1" min="9" max="9" width="31.75"/>
    <col customWidth="1" min="10" max="10" width="40.38"/>
  </cols>
  <sheetData>
    <row r="1">
      <c r="A1" s="1" t="str">
        <f>IFERROR(__xludf.DUMMYFUNCTION("importrange(""https://docs.google.com/spreadsheets/d/1F24HX67a0yqmZenLBI_BJEzoIf4UiFlVbwST-WwYxPs/edit?gid=1351456717#gid=1351456717"",""CE-IE!A1:J150"")"),"TOP")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row>
    <row r="2">
      <c r="A2" s="58" t="str">
        <f>IFERROR(__xludf.DUMMYFUNCTION("""COMPUTED_VALUE"""),"Top 10")</f>
        <v>Top 10</v>
      </c>
      <c r="B2" t="str">
        <f>IFERROR(__xludf.DUMMYFUNCTION("""COMPUTED_VALUE"""),"SBIE")</f>
        <v>SBIE</v>
      </c>
      <c r="C2" t="str">
        <f>IFERROR(__xludf.DUMMYFUNCTION("""COMPUTED_VALUE"""),"Simpósio Brasileiro de Informática na Educação")</f>
        <v>Simpósio Brasileiro de Informática na Educação</v>
      </c>
      <c r="D2">
        <f>IFERROR(__xludf.DUMMYFUNCTION("""COMPUTED_VALUE"""),15.0)</f>
        <v>15</v>
      </c>
      <c r="E2" s="193" t="str">
        <f>IFERROR(__xludf.DUMMYFUNCTION("""COMPUTED_VALUE"""),"https://scholar.google.com.br/citations?hl=pt-BR&amp;view_op=search_venues&amp;vq=Simp%C3%B3sio+Brasileiro+de+Inform%C3%A1tica+na+Educa%C3%A7%C3%A3o&amp;btnG=")</f>
        <v>https://scholar.google.com.br/citations?hl=pt-BR&amp;view_op=search_venues&amp;vq=Simp%C3%B3sio+Brasileiro+de+Inform%C3%A1tica+na+Educa%C3%A7%C3%A3o&amp;btnG=</v>
      </c>
      <c r="H2" t="str">
        <f>IFERROR(__xludf.DUMMYFUNCTION("""COMPUTED_VALUE"""),"Brazilian Symposium on Computers in Education")</f>
        <v>Brazilian Symposium on Computers in Education</v>
      </c>
      <c r="I2" t="str">
        <f>IFERROR(__xludf.DUMMYFUNCTION("""COMPUTED_VALUE"""),"não encontrado")</f>
        <v>não encontrado</v>
      </c>
      <c r="J2" s="60" t="str">
        <f>IFERROR(__xludf.DUMMYFUNCTION("""COMPUTED_VALUE"""),"https://sol.sbc.org.br/index.php/sbie/issue/archive")</f>
        <v>https://sol.sbc.org.br/index.php/sbie/issue/archive</v>
      </c>
    </row>
    <row r="3">
      <c r="A3" s="58" t="str">
        <f>IFERROR(__xludf.DUMMYFUNCTION("""COMPUTED_VALUE"""),"Top 10")</f>
        <v>Top 10</v>
      </c>
      <c r="B3" t="str">
        <f>IFERROR(__xludf.DUMMYFUNCTION("""COMPUTED_VALUE"""),"WIE")</f>
        <v>WIE</v>
      </c>
      <c r="C3" t="str">
        <f>IFERROR(__xludf.DUMMYFUNCTION("""COMPUTED_VALUE"""),"Workshop de Informática na Escola")</f>
        <v>Workshop de Informática na Escola</v>
      </c>
      <c r="D3">
        <f>IFERROR(__xludf.DUMMYFUNCTION("""COMPUTED_VALUE"""),10.0)</f>
        <v>10</v>
      </c>
      <c r="E3" s="193" t="str">
        <f>IFERROR(__xludf.DUMMYFUNCTION("""COMPUTED_VALUE"""),"https://scholar.google.com.br/citations?hl=pt-BR&amp;view_op=list_hcore&amp;venue=oRft04FzXroJ.2024")</f>
        <v>https://scholar.google.com.br/citations?hl=pt-BR&amp;view_op=list_hcore&amp;venue=oRft04FzXroJ.2024</v>
      </c>
      <c r="I3" t="str">
        <f>IFERROR(__xludf.DUMMYFUNCTION("""COMPUTED_VALUE"""),"não encontrado")</f>
        <v>não encontrado</v>
      </c>
      <c r="J3" s="60" t="str">
        <f>IFERROR(__xludf.DUMMYFUNCTION("""COMPUTED_VALUE"""),"https://sol.sbc.org.br/index.php/wie/issue/archive")</f>
        <v>https://sol.sbc.org.br/index.php/wie/issue/archive</v>
      </c>
    </row>
    <row r="4">
      <c r="A4" s="58" t="str">
        <f>IFERROR(__xludf.DUMMYFUNCTION("""COMPUTED_VALUE"""),"Top 10")</f>
        <v>Top 10</v>
      </c>
      <c r="B4" t="str">
        <f>IFERROR(__xludf.DUMMYFUNCTION("""COMPUTED_VALUE"""),"LAK")</f>
        <v>LAK</v>
      </c>
      <c r="C4" t="str">
        <f>IFERROR(__xludf.DUMMYFUNCTION("""COMPUTED_VALUE"""),"International Learning Analytics and Knowledge Conference")</f>
        <v>International Learning Analytics and Knowledge Conference</v>
      </c>
      <c r="D4">
        <f>IFERROR(__xludf.DUMMYFUNCTION("""COMPUTED_VALUE"""),45.0)</f>
        <v>45</v>
      </c>
      <c r="E4" s="193" t="str">
        <f>IFERROR(__xludf.DUMMYFUNCTION("""COMPUTED_VALUE"""),"https://scholar.google.com.br/citations?hl=pt-BR&amp;view_op=list_hcore&amp;venue=vyPePYGDYIkJ.2024")</f>
        <v>https://scholar.google.com.br/citations?hl=pt-BR&amp;view_op=list_hcore&amp;venue=vyPePYGDYIkJ.2024</v>
      </c>
      <c r="H4" t="str">
        <f>IFERROR(__xludf.DUMMYFUNCTION("""COMPUTED_VALUE"""),"International Conference on Learning Analytics &amp; Knowledge")</f>
        <v>International Conference on Learning Analytics &amp; Knowledge</v>
      </c>
      <c r="I4" s="60" t="str">
        <f>IFERROR(__xludf.DUMMYFUNCTION("""COMPUTED_VALUE"""),"https://dblp.org/db/conf/lak/index.html")</f>
        <v>https://dblp.org/db/conf/lak/index.html</v>
      </c>
    </row>
    <row r="5">
      <c r="A5" s="58" t="str">
        <f>IFERROR(__xludf.DUMMYFUNCTION("""COMPUTED_VALUE"""),"Top 10")</f>
        <v>Top 10</v>
      </c>
      <c r="B5" t="str">
        <f>IFERROR(__xludf.DUMMYFUNCTION("""COMPUTED_VALUE"""),"EDM")</f>
        <v>EDM</v>
      </c>
      <c r="C5" t="str">
        <f>IFERROR(__xludf.DUMMYFUNCTION("""COMPUTED_VALUE"""),"International Conference on Educational Data Mining")</f>
        <v>International Conference on Educational Data Mining</v>
      </c>
      <c r="D5">
        <f>IFERROR(__xludf.DUMMYFUNCTION("""COMPUTED_VALUE"""),32.0)</f>
        <v>32</v>
      </c>
      <c r="E5" s="193" t="str">
        <f>IFERROR(__xludf.DUMMYFUNCTION("""COMPUTED_VALUE"""),"https://scholar.google.com.br/citations?hl=pt-BR&amp;view_op=list_hcore&amp;venue=omHmP0TWqbUJ.2024")</f>
        <v>https://scholar.google.com.br/citations?hl=pt-BR&amp;view_op=list_hcore&amp;venue=omHmP0TWqbUJ.2024</v>
      </c>
      <c r="I5" s="60" t="str">
        <f>IFERROR(__xludf.DUMMYFUNCTION("""COMPUTED_VALUE"""),"https://dblp.org/db/conf/edm/index.html")</f>
        <v>https://dblp.org/db/conf/edm/index.html</v>
      </c>
    </row>
    <row r="6">
      <c r="A6" s="58" t="str">
        <f>IFERROR(__xludf.DUMMYFUNCTION("""COMPUTED_VALUE"""),"Top 10")</f>
        <v>Top 10</v>
      </c>
      <c r="B6" t="str">
        <f>IFERROR(__xludf.DUMMYFUNCTION("""COMPUTED_VALUE"""),"AIED")</f>
        <v>AIED</v>
      </c>
      <c r="C6" t="str">
        <f>IFERROR(__xludf.DUMMYFUNCTION("""COMPUTED_VALUE"""),"International Conference on Artificial Intelligence in Education")</f>
        <v>International Conference on Artificial Intelligence in Education</v>
      </c>
      <c r="D6">
        <f>IFERROR(__xludf.DUMMYFUNCTION("""COMPUTED_VALUE"""),31.0)</f>
        <v>31</v>
      </c>
      <c r="E6" s="193" t="str">
        <f>IFERROR(__xludf.DUMMYFUNCTION("""COMPUTED_VALUE"""),"https://scholar.google.com.br/citations?hl=pt-BR&amp;view_op=list_hcore&amp;venue=l2Fh9zgyJ3sJ.2024")</f>
        <v>https://scholar.google.com.br/citations?hl=pt-BR&amp;view_op=list_hcore&amp;venue=l2Fh9zgyJ3sJ.2024</v>
      </c>
      <c r="H6" t="str">
        <f>IFERROR(__xludf.DUMMYFUNCTION("""COMPUTED_VALUE"""),"Artificial Intelligence in Education")</f>
        <v>Artificial Intelligence in Education</v>
      </c>
      <c r="I6" s="60" t="str">
        <f>IFERROR(__xludf.DUMMYFUNCTION("""COMPUTED_VALUE"""),"https://dblp.org/db/conf/aied/index.html")</f>
        <v>https://dblp.org/db/conf/aied/index.html</v>
      </c>
    </row>
    <row r="7">
      <c r="A7" s="58" t="str">
        <f>IFERROR(__xludf.DUMMYFUNCTION("""COMPUTED_VALUE"""),"Top 10")</f>
        <v>Top 10</v>
      </c>
      <c r="B7" t="str">
        <f>IFERROR(__xludf.DUMMYFUNCTION("""COMPUTED_VALUE"""),"FIE")</f>
        <v>FIE</v>
      </c>
      <c r="C7" t="str">
        <f>IFERROR(__xludf.DUMMYFUNCTION("""COMPUTED_VALUE"""),"IEEE Frontiers in Education Conference")</f>
        <v>IEEE Frontiers in Education Conference</v>
      </c>
      <c r="D7">
        <f>IFERROR(__xludf.DUMMYFUNCTION("""COMPUTED_VALUE"""),26.0)</f>
        <v>26</v>
      </c>
      <c r="E7" s="193" t="str">
        <f>IFERROR(__xludf.DUMMYFUNCTION("""COMPUTED_VALUE"""),"https://scholar.google.com.br/citations?hl=pt-BR&amp;view_op=list_hcore&amp;venue=G1RhimMOm2wJ.2024")</f>
        <v>https://scholar.google.com.br/citations?hl=pt-BR&amp;view_op=list_hcore&amp;venue=G1RhimMOm2wJ.2024</v>
      </c>
      <c r="H7" t="str">
        <f>IFERROR(__xludf.DUMMYFUNCTION("""COMPUTED_VALUE"""),"Frontiers in Education Conference")</f>
        <v>Frontiers in Education Conference</v>
      </c>
      <c r="I7" s="60" t="str">
        <f>IFERROR(__xludf.DUMMYFUNCTION("""COMPUTED_VALUE"""),"https://dblp.org/db/conf/fie/index.html")</f>
        <v>https://dblp.org/db/conf/fie/index.html</v>
      </c>
    </row>
    <row r="8">
      <c r="A8" s="58" t="str">
        <f>IFERROR(__xludf.DUMMYFUNCTION("""COMPUTED_VALUE"""),"Top 10")</f>
        <v>Top 10</v>
      </c>
      <c r="B8" t="str">
        <f>IFERROR(__xludf.DUMMYFUNCTION("""COMPUTED_VALUE"""),"ICALT")</f>
        <v>ICALT</v>
      </c>
      <c r="C8" t="str">
        <f>IFERROR(__xludf.DUMMYFUNCTION("""COMPUTED_VALUE"""),"IEEE International Conference on Advanced Learning Technologies")</f>
        <v>IEEE International Conference on Advanced Learning Technologies</v>
      </c>
      <c r="D8">
        <f>IFERROR(__xludf.DUMMYFUNCTION("""COMPUTED_VALUE"""),22.0)</f>
        <v>22</v>
      </c>
      <c r="E8" s="193" t="str">
        <f>IFERROR(__xludf.DUMMYFUNCTION("""COMPUTED_VALUE"""),"https://scholar.google.com.br/citations?hl=pt-BR&amp;view_op=list_hcore&amp;venue=-QH-Ge-vaUsJ.2024")</f>
        <v>https://scholar.google.com.br/citations?hl=pt-BR&amp;view_op=list_hcore&amp;venue=-QH-Ge-vaUsJ.2024</v>
      </c>
      <c r="I8" s="60" t="str">
        <f>IFERROR(__xludf.DUMMYFUNCTION("""COMPUTED_VALUE"""),"https://dblp.org/db/conf/icalt/index.html")</f>
        <v>https://dblp.org/db/conf/icalt/index.html</v>
      </c>
    </row>
    <row r="9">
      <c r="A9" s="58" t="str">
        <f>IFERROR(__xludf.DUMMYFUNCTION("""COMPUTED_VALUE"""),"Top 10")</f>
        <v>Top 10</v>
      </c>
      <c r="B9" t="str">
        <f>IFERROR(__xludf.DUMMYFUNCTION("""COMPUTED_VALUE"""),"CSEDU")</f>
        <v>CSEDU</v>
      </c>
      <c r="C9" t="str">
        <f>IFERROR(__xludf.DUMMYFUNCTION("""COMPUTED_VALUE"""),"International Conference on Computer Supported Education")</f>
        <v>International Conference on Computer Supported Education</v>
      </c>
      <c r="D9">
        <f>IFERROR(__xludf.DUMMYFUNCTION("""COMPUTED_VALUE"""),21.0)</f>
        <v>21</v>
      </c>
      <c r="E9" s="193" t="str">
        <f>IFERROR(__xludf.DUMMYFUNCTION("""COMPUTED_VALUE"""),"https://scholar.google.com.br/citations?hl=pt-BR&amp;view_op=list_hcore&amp;venue=nzz9FASca4MJ.2024")</f>
        <v>https://scholar.google.com.br/citations?hl=pt-BR&amp;view_op=list_hcore&amp;venue=nzz9FASca4MJ.2024</v>
      </c>
      <c r="I9" s="60" t="str">
        <f>IFERROR(__xludf.DUMMYFUNCTION("""COMPUTED_VALUE"""),"https://dblp.org/db/conf/csedu/index.html")</f>
        <v>https://dblp.org/db/conf/csedu/index.html</v>
      </c>
    </row>
    <row r="10">
      <c r="A10" s="58" t="str">
        <f>IFERROR(__xludf.DUMMYFUNCTION("""COMPUTED_VALUE"""),"Top 10")</f>
        <v>Top 10</v>
      </c>
      <c r="B10" t="str">
        <f>IFERROR(__xludf.DUMMYFUNCTION("""COMPUTED_VALUE"""),"EC-TEL")</f>
        <v>EC-TEL</v>
      </c>
      <c r="C10" t="str">
        <f>IFERROR(__xludf.DUMMYFUNCTION("""COMPUTED_VALUE"""),"European Conference on Technology Enhanced Learning")</f>
        <v>European Conference on Technology Enhanced Learning</v>
      </c>
      <c r="D10">
        <f>IFERROR(__xludf.DUMMYFUNCTION("""COMPUTED_VALUE"""),19.0)</f>
        <v>19</v>
      </c>
      <c r="E10" s="193" t="str">
        <f>IFERROR(__xludf.DUMMYFUNCTION("""COMPUTED_VALUE"""),"https://scholar.google.com.br/citations?hl=pt-BR&amp;view_op=list_hcore&amp;venue=_1QDFIU09Q8J.2024")</f>
        <v>https://scholar.google.com.br/citations?hl=pt-BR&amp;view_op=list_hcore&amp;venue=_1QDFIU09Q8J.2024</v>
      </c>
      <c r="I10" s="60" t="str">
        <f>IFERROR(__xludf.DUMMYFUNCTION("""COMPUTED_VALUE"""),"https://dblp.org/db/conf/ectel/index.html")</f>
        <v>https://dblp.org/db/conf/ectel/index.html</v>
      </c>
    </row>
    <row r="11">
      <c r="A11" s="58" t="str">
        <f>IFERROR(__xludf.DUMMYFUNCTION("""COMPUTED_VALUE"""),"Top 10")</f>
        <v>Top 10</v>
      </c>
      <c r="B11" t="str">
        <f>IFERROR(__xludf.DUMMYFUNCTION("""COMPUTED_VALUE"""),"L@S")</f>
        <v>L@S</v>
      </c>
      <c r="C11" t="str">
        <f>IFERROR(__xludf.DUMMYFUNCTION("""COMPUTED_VALUE"""),"ACM Conference on Learning @ Scale")</f>
        <v>ACM Conference on Learning @ Scale</v>
      </c>
      <c r="D11">
        <f>IFERROR(__xludf.DUMMYFUNCTION("""COMPUTED_VALUE"""),23.0)</f>
        <v>23</v>
      </c>
      <c r="E11" s="193" t="str">
        <f>IFERROR(__xludf.DUMMYFUNCTION("""COMPUTED_VALUE"""),"https://scholar.google.com.br/citations?hl=pt-BR&amp;view_op=list_hcore&amp;venue=36ZL-wFvppYJ.2024")</f>
        <v>https://scholar.google.com.br/citations?hl=pt-BR&amp;view_op=list_hcore&amp;venue=36ZL-wFvppYJ.2024</v>
      </c>
      <c r="I11" s="60" t="str">
        <f>IFERROR(__xludf.DUMMYFUNCTION("""COMPUTED_VALUE"""),"https://dblp.org/db/conf/lats/index.html")</f>
        <v>https://dblp.org/db/conf/lats/index.html</v>
      </c>
    </row>
    <row r="12">
      <c r="A12" s="58" t="str">
        <f>IFERROR(__xludf.DUMMYFUNCTION("""COMPUTED_VALUE"""),"Top 20")</f>
        <v>Top 20</v>
      </c>
      <c r="B12" t="str">
        <f>IFERROR(__xludf.DUMMYFUNCTION("""COMPUTED_VALUE"""),"ITS")</f>
        <v>ITS</v>
      </c>
      <c r="C12" t="str">
        <f>IFERROR(__xludf.DUMMYFUNCTION("""COMPUTED_VALUE"""),"International Conference on Intelligent Tutoring Systems")</f>
        <v>International Conference on Intelligent Tutoring Systems</v>
      </c>
      <c r="D12">
        <f>IFERROR(__xludf.DUMMYFUNCTION("""COMPUTED_VALUE"""),16.0)</f>
        <v>16</v>
      </c>
      <c r="E12" s="193" t="str">
        <f>IFERROR(__xludf.DUMMYFUNCTION("""COMPUTED_VALUE"""),"https://scholar.google.com.br/citations?hl=pt-BR&amp;view_op=list_hcore&amp;venue=pjzAYQWqW2kJ.2024")</f>
        <v>https://scholar.google.com.br/citations?hl=pt-BR&amp;view_op=list_hcore&amp;venue=pjzAYQWqW2kJ.2024</v>
      </c>
      <c r="G12" t="str">
        <f>IFERROR(__xludf.DUMMYFUNCTION("""COMPUTED_VALUE"""),"International Conference on Augmented Intelligence and Intelligent Tutoring Systems")</f>
        <v>International Conference on Augmented Intelligence and Intelligent Tutoring Systems</v>
      </c>
      <c r="H12" t="str">
        <f>IFERROR(__xludf.DUMMYFUNCTION("""COMPUTED_VALUE"""),"International Intelligent Tutoring Systems Conference")</f>
        <v>International Intelligent Tutoring Systems Conference</v>
      </c>
      <c r="I12" s="60" t="str">
        <f>IFERROR(__xludf.DUMMYFUNCTION("""COMPUTED_VALUE"""),"https://dblp.org/db/conf/its/index.html")</f>
        <v>https://dblp.org/db/conf/its/index.html</v>
      </c>
    </row>
    <row r="13">
      <c r="A13" s="65" t="str">
        <f>IFERROR(__xludf.DUMMYFUNCTION("""COMPUTED_VALUE"""),"Top 20")</f>
        <v>Top 20</v>
      </c>
      <c r="B13" t="str">
        <f>IFERROR(__xludf.DUMMYFUNCTION("""COMPUTED_VALUE"""),"ICET")</f>
        <v>ICET</v>
      </c>
      <c r="C13" t="str">
        <f>IFERROR(__xludf.DUMMYFUNCTION("""COMPUTED_VALUE"""),"International Conference on Education and Technology")</f>
        <v>International Conference on Education and Technology</v>
      </c>
      <c r="D13">
        <f>IFERROR(__xludf.DUMMYFUNCTION("""COMPUTED_VALUE"""),22.0)</f>
        <v>22</v>
      </c>
      <c r="E13" s="193" t="str">
        <f>IFERROR(__xludf.DUMMYFUNCTION("""COMPUTED_VALUE"""),"https://scholar.google.com.br/citations?hl=pt-BR&amp;view_op=list_hcore&amp;venue=TnYb4fX9_04J.2024")</f>
        <v>https://scholar.google.com.br/citations?hl=pt-BR&amp;view_op=list_hcore&amp;venue=TnYb4fX9_04J.2024</v>
      </c>
      <c r="I13" t="str">
        <f>IFERROR(__xludf.DUMMYFUNCTION("""COMPUTED_VALUE"""),"não encontrado")</f>
        <v>não encontrado</v>
      </c>
    </row>
    <row r="14">
      <c r="A14" s="65" t="str">
        <f>IFERROR(__xludf.DUMMYFUNCTION("""COMPUTED_VALUE"""),"Top 20")</f>
        <v>Top 20</v>
      </c>
      <c r="B14" t="str">
        <f>IFERROR(__xludf.DUMMYFUNCTION("""COMPUTED_VALUE"""),"EDULEARN")</f>
        <v>EDULEARN</v>
      </c>
      <c r="C14" t="str">
        <f>IFERROR(__xludf.DUMMYFUNCTION("""COMPUTED_VALUE"""),"International Conference on Education and New Learning Technologies")</f>
        <v>International Conference on Education and New Learning Technologies</v>
      </c>
      <c r="D14">
        <f>IFERROR(__xludf.DUMMYFUNCTION("""COMPUTED_VALUE"""),22.0)</f>
        <v>22</v>
      </c>
      <c r="E14" s="193" t="str">
        <f>IFERROR(__xludf.DUMMYFUNCTION("""COMPUTED_VALUE"""),"https://scholar.google.com.br/citations?hl=pt-BR&amp;view_op=list_hcore&amp;venue=NTcX_smN7XYJ.2024")</f>
        <v>https://scholar.google.com.br/citations?hl=pt-BR&amp;view_op=list_hcore&amp;venue=NTcX_smN7XYJ.2024</v>
      </c>
      <c r="I14" t="str">
        <f>IFERROR(__xludf.DUMMYFUNCTION("""COMPUTED_VALUE"""),"não encontrado")</f>
        <v>não encontrado</v>
      </c>
    </row>
    <row r="15">
      <c r="A15" s="65" t="str">
        <f>IFERROR(__xludf.DUMMYFUNCTION("""COMPUTED_VALUE"""),"Top 20")</f>
        <v>Top 20</v>
      </c>
      <c r="B15" t="str">
        <f>IFERROR(__xludf.DUMMYFUNCTION("""COMPUTED_VALUE"""),"ICIET")</f>
        <v>ICIET</v>
      </c>
      <c r="C15" t="str">
        <f>IFERROR(__xludf.DUMMYFUNCTION("""COMPUTED_VALUE"""),"International Conference on Information and Education Technology")</f>
        <v>International Conference on Information and Education Technology</v>
      </c>
      <c r="D15">
        <f>IFERROR(__xludf.DUMMYFUNCTION("""COMPUTED_VALUE"""),15.0)</f>
        <v>15</v>
      </c>
      <c r="E15" s="193" t="str">
        <f>IFERROR(__xludf.DUMMYFUNCTION("""COMPUTED_VALUE"""),"https://scholar.google.com.br/citations?hl=pt-BR&amp;view_op=list_hcore&amp;venue=2OO-Lg-JdkcJ.2024")</f>
        <v>https://scholar.google.com.br/citations?hl=pt-BR&amp;view_op=list_hcore&amp;venue=2OO-Lg-JdkcJ.2024</v>
      </c>
      <c r="I15" t="str">
        <f>IFERROR(__xludf.DUMMYFUNCTION("""COMPUTED_VALUE"""),"não encontrado")</f>
        <v>não encontrado</v>
      </c>
    </row>
    <row r="16">
      <c r="A16" s="65" t="str">
        <f>IFERROR(__xludf.DUMMYFUNCTION("""COMPUTED_VALUE"""),"Top 20")</f>
        <v>Top 20</v>
      </c>
      <c r="B16" t="str">
        <f>IFERROR(__xludf.DUMMYFUNCTION("""COMPUTED_VALUE"""),"ISET")</f>
        <v>ISET</v>
      </c>
      <c r="C16" t="str">
        <f>IFERROR(__xludf.DUMMYFUNCTION("""COMPUTED_VALUE"""),"International Symposium on Educational Technology")</f>
        <v>International Symposium on Educational Technology</v>
      </c>
      <c r="D16">
        <f>IFERROR(__xludf.DUMMYFUNCTION("""COMPUTED_VALUE"""),14.0)</f>
        <v>14</v>
      </c>
      <c r="E16" s="193" t="str">
        <f>IFERROR(__xludf.DUMMYFUNCTION("""COMPUTED_VALUE"""),"https://scholar.google.com.br/citations?hl=pt-BR&amp;view_op=list_hcore&amp;venue=kofmhJ_qfCQJ.2024")</f>
        <v>https://scholar.google.com.br/citations?hl=pt-BR&amp;view_op=list_hcore&amp;venue=kofmhJ_qfCQJ.2024</v>
      </c>
      <c r="I16" t="str">
        <f>IFERROR(__xludf.DUMMYFUNCTION("""COMPUTED_VALUE"""),"não encontrado")</f>
        <v>não encontrado</v>
      </c>
    </row>
    <row r="17">
      <c r="A17" s="65" t="str">
        <f>IFERROR(__xludf.DUMMYFUNCTION("""COMPUTED_VALUE"""),"Top 20")</f>
        <v>Top 20</v>
      </c>
      <c r="B17" t="str">
        <f>IFERROR(__xludf.DUMMYFUNCTION("""COMPUTED_VALUE"""),"ICITE")</f>
        <v>ICITE</v>
      </c>
      <c r="C17" t="str">
        <f>IFERROR(__xludf.DUMMYFUNCTION("""COMPUTED_VALUE"""),"International Conference on Information Technology and Education")</f>
        <v>International Conference on Information Technology and Education</v>
      </c>
      <c r="D17">
        <f>IFERROR(__xludf.DUMMYFUNCTION("""COMPUTED_VALUE"""),13.0)</f>
        <v>13</v>
      </c>
      <c r="E17" s="193" t="str">
        <f>IFERROR(__xludf.DUMMYFUNCTION("""COMPUTED_VALUE"""),"https://scholar.google.com.br/citations?hl=en&amp;view_op=list_hcore&amp;venue=jdJM2nPZiO8J.2024")</f>
        <v>https://scholar.google.com.br/citations?hl=en&amp;view_op=list_hcore&amp;venue=jdJM2nPZiO8J.2024</v>
      </c>
      <c r="I17" t="str">
        <f>IFERROR(__xludf.DUMMYFUNCTION("""COMPUTED_VALUE"""),"não encontrado")</f>
        <v>não encontrado</v>
      </c>
    </row>
    <row r="18">
      <c r="A18" s="65" t="str">
        <f>IFERROR(__xludf.DUMMYFUNCTION("""COMPUTED_VALUE"""),"Top 20")</f>
        <v>Top 20</v>
      </c>
      <c r="B18" t="str">
        <f>IFERROR(__xludf.DUMMYFUNCTION("""COMPUTED_VALUE"""),"CSCL")</f>
        <v>CSCL</v>
      </c>
      <c r="C18" t="str">
        <f>IFERROR(__xludf.DUMMYFUNCTION("""COMPUTED_VALUE"""),"International Conference on Computer Supported Collaborative Learning")</f>
        <v>International Conference on Computer Supported Collaborative Learning</v>
      </c>
      <c r="D18">
        <f>IFERROR(__xludf.DUMMYFUNCTION("""COMPUTED_VALUE"""),12.0)</f>
        <v>12</v>
      </c>
      <c r="E18" s="193" t="str">
        <f>IFERROR(__xludf.DUMMYFUNCTION("""COMPUTED_VALUE"""),"https://scholar.google.com.br/citations?hl=pt-BR&amp;view_op=list_hcore&amp;venue=-QLNBBFyi_AJ.2024")</f>
        <v>https://scholar.google.com.br/citations?hl=pt-BR&amp;view_op=list_hcore&amp;venue=-QLNBBFyi_AJ.2024</v>
      </c>
      <c r="I18" s="60" t="str">
        <f>IFERROR(__xludf.DUMMYFUNCTION("""COMPUTED_VALUE"""),"https://dblp.org/db/conf/cscl/index.html")</f>
        <v>https://dblp.org/db/conf/cscl/index.html</v>
      </c>
    </row>
    <row r="19">
      <c r="A19" s="65" t="str">
        <f>IFERROR(__xludf.DUMMYFUNCTION("""COMPUTED_VALUE"""),"Top 20")</f>
        <v>Top 20</v>
      </c>
      <c r="B19" t="str">
        <f>IFERROR(__xludf.DUMMYFUNCTION("""COMPUTED_VALUE"""),"ICETC")</f>
        <v>ICETC</v>
      </c>
      <c r="C19" t="str">
        <f>IFERROR(__xludf.DUMMYFUNCTION("""COMPUTED_VALUE"""),"International Conference on Education Technology and Computer")</f>
        <v>International Conference on Education Technology and Computer</v>
      </c>
      <c r="D19">
        <f>IFERROR(__xludf.DUMMYFUNCTION("""COMPUTED_VALUE"""),11.0)</f>
        <v>11</v>
      </c>
      <c r="E19" s="193" t="str">
        <f>IFERROR(__xludf.DUMMYFUNCTION("""COMPUTED_VALUE"""),"https://scholar.google.com.br/citations?hl=en&amp;view_op=list_hcore&amp;venue=5Vf5Ge4rO1cJ.2024")</f>
        <v>https://scholar.google.com.br/citations?hl=en&amp;view_op=list_hcore&amp;venue=5Vf5Ge4rO1cJ.2024</v>
      </c>
      <c r="I19" s="60" t="str">
        <f>IFERROR(__xludf.DUMMYFUNCTION("""COMPUTED_VALUE"""),"https://dblp.org/db/conf/icetc/index.html")</f>
        <v>https://dblp.org/db/conf/icetc/index.html</v>
      </c>
    </row>
    <row r="20">
      <c r="A20" s="65" t="str">
        <f>IFERROR(__xludf.DUMMYFUNCTION("""COMPUTED_VALUE"""),"Top 20")</f>
        <v>Top 20</v>
      </c>
      <c r="B20" t="str">
        <f>IFERROR(__xludf.DUMMYFUNCTION("""COMPUTED_VALUE"""),"ICEMT")</f>
        <v>ICEMT</v>
      </c>
      <c r="C20" t="str">
        <f>IFERROR(__xludf.DUMMYFUNCTION("""COMPUTED_VALUE"""),"International Conference on Education and Multimedia Technology")</f>
        <v>International Conference on Education and Multimedia Technology</v>
      </c>
      <c r="D20">
        <f>IFERROR(__xludf.DUMMYFUNCTION("""COMPUTED_VALUE"""),10.0)</f>
        <v>10</v>
      </c>
      <c r="E20" s="193" t="str">
        <f>IFERROR(__xludf.DUMMYFUNCTION("""COMPUTED_VALUE"""),"https://scholar.google.com.br/citations?hl=en&amp;view_op=list_hcore&amp;venue=VbcOlb-pUfEJ.2024")</f>
        <v>https://scholar.google.com.br/citations?hl=en&amp;view_op=list_hcore&amp;venue=VbcOlb-pUfEJ.2024</v>
      </c>
      <c r="I20" s="60" t="str">
        <f>IFERROR(__xludf.DUMMYFUNCTION("""COMPUTED_VALUE"""),"https://dblp.org/db/conf/icemt/index.html")</f>
        <v>https://dblp.org/db/conf/icemt/index.html</v>
      </c>
    </row>
    <row r="21">
      <c r="A21" s="65" t="str">
        <f>IFERROR(__xludf.DUMMYFUNCTION("""COMPUTED_VALUE"""),"Top 20")</f>
        <v>Top 20</v>
      </c>
      <c r="B21" t="str">
        <f>IFERROR(__xludf.DUMMYFUNCTION("""COMPUTED_VALUE"""),"LACLO")</f>
        <v>LACLO</v>
      </c>
      <c r="C21" t="str">
        <f>IFERROR(__xludf.DUMMYFUNCTION("""COMPUTED_VALUE"""),"Latin American Conference on Learning Objects and Technologies")</f>
        <v>Latin American Conference on Learning Objects and Technologies</v>
      </c>
      <c r="D21">
        <f>IFERROR(__xludf.DUMMYFUNCTION("""COMPUTED_VALUE"""),10.0)</f>
        <v>10</v>
      </c>
      <c r="E21" s="193" t="str">
        <f>IFERROR(__xludf.DUMMYFUNCTION("""COMPUTED_VALUE"""),"https://scholar.google.com/citations?hl=pt-BR&amp;view_op=list_hcore&amp;venue=dxqVLUIU2J4J.2024")</f>
        <v>https://scholar.google.com/citations?hl=pt-BR&amp;view_op=list_hcore&amp;venue=dxqVLUIU2J4J.2024</v>
      </c>
      <c r="G21" t="str">
        <f>IFERROR(__xludf.DUMMYFUNCTION("""COMPUTED_VALUE"""),"Latin American Conference on Learning Technologies")</f>
        <v>Latin American Conference on Learning Technologies</v>
      </c>
      <c r="H21" t="str">
        <f>IFERROR(__xludf.DUMMYFUNCTION("""COMPUTED_VALUE"""),"Conferencia Latinoamericana de Tecnologías de Aprendizaje")</f>
        <v>Conferencia Latinoamericana de Tecnologías de Aprendizaje</v>
      </c>
      <c r="I21" t="str">
        <f>IFERROR(__xludf.DUMMYFUNCTION("""COMPUTED_VALUE"""),"não encontrado")</f>
        <v>não encontrado</v>
      </c>
    </row>
    <row r="22">
      <c r="A22" s="68" t="str">
        <f>IFERROR(__xludf.DUMMYFUNCTION("""COMPUTED_VALUE"""),"Eventos da Área")</f>
        <v>Eventos da Área</v>
      </c>
      <c r="B22" t="str">
        <f>IFERROR(__xludf.DUMMYFUNCTION("""COMPUTED_VALUE"""),"SIGCSE")</f>
        <v>SIGCSE</v>
      </c>
      <c r="C22" t="str">
        <f>IFERROR(__xludf.DUMMYFUNCTION("""COMPUTED_VALUE"""),"ACM Technical Symposium on Computer Science Education")</f>
        <v>ACM Technical Symposium on Computer Science Education</v>
      </c>
      <c r="D22">
        <f>IFERROR(__xludf.DUMMYFUNCTION("""COMPUTED_VALUE"""),47.0)</f>
        <v>47</v>
      </c>
      <c r="E22" s="193" t="str">
        <f>IFERROR(__xludf.DUMMYFUNCTION("""COMPUTED_VALUE"""),"https://scholar.google.com.br/citations?hl=pt-BR&amp;view_op=list_hcore&amp;venue=rrlriATuz7wJ.2024")</f>
        <v>https://scholar.google.com.br/citations?hl=pt-BR&amp;view_op=list_hcore&amp;venue=rrlriATuz7wJ.2024</v>
      </c>
      <c r="H22" t="str">
        <f>IFERROR(__xludf.DUMMYFUNCTION("""COMPUTED_VALUE"""),"Technical Symposium on Computer Science Education")</f>
        <v>Technical Symposium on Computer Science Education</v>
      </c>
      <c r="I22" s="60" t="str">
        <f>IFERROR(__xludf.DUMMYFUNCTION("""COMPUTED_VALUE"""),"https://dblp.org/db/conf/sigcse/")</f>
        <v>https://dblp.org/db/conf/sigcse/</v>
      </c>
    </row>
    <row r="23">
      <c r="A23" s="68" t="str">
        <f>IFERROR(__xludf.DUMMYFUNCTION("""COMPUTED_VALUE"""),"Eventos da Área")</f>
        <v>Eventos da Área</v>
      </c>
      <c r="B23" t="str">
        <f>IFERROR(__xludf.DUMMYFUNCTION("""COMPUTED_VALUE"""),"ITiCSE")</f>
        <v>ITiCSE</v>
      </c>
      <c r="C23" t="str">
        <f>IFERROR(__xludf.DUMMYFUNCTION("""COMPUTED_VALUE"""),"Conference on Innovation and Technology in Computer Science Education")</f>
        <v>Conference on Innovation and Technology in Computer Science Education</v>
      </c>
      <c r="D23">
        <f>IFERROR(__xludf.DUMMYFUNCTION("""COMPUTED_VALUE"""),35.0)</f>
        <v>35</v>
      </c>
      <c r="E23" s="193" t="str">
        <f>IFERROR(__xludf.DUMMYFUNCTION("""COMPUTED_VALUE"""),"https://scholar.google.com.br/citations?hl=pt-BR&amp;view_op=list_hcore&amp;venue=68UDAZLIQo8J.2024")</f>
        <v>https://scholar.google.com.br/citations?hl=pt-BR&amp;view_op=list_hcore&amp;venue=68UDAZLIQo8J.2024</v>
      </c>
      <c r="G23" t="str">
        <f>IFERROR(__xludf.DUMMYFUNCTION("""COMPUTED_VALUE"""),"Joint Conference on Innovation and Technology in Computer Science Education")</f>
        <v>Joint Conference on Innovation and Technology in Computer Science Education</v>
      </c>
      <c r="I23" s="60" t="str">
        <f>IFERROR(__xludf.DUMMYFUNCTION("""COMPUTED_VALUE"""),"https://dblp.org/db/conf/iticse/")</f>
        <v>https://dblp.org/db/conf/iticse/</v>
      </c>
    </row>
    <row r="24">
      <c r="A24" s="68" t="str">
        <f>IFERROR(__xludf.DUMMYFUNCTION("""COMPUTED_VALUE"""),"Eventos da Área")</f>
        <v>Eventos da Área</v>
      </c>
      <c r="B24" t="str">
        <f>IFERROR(__xludf.DUMMYFUNCTION("""COMPUTED_VALUE"""),"EDUCON")</f>
        <v>EDUCON</v>
      </c>
      <c r="C24" t="str">
        <f>IFERROR(__xludf.DUMMYFUNCTION("""COMPUTED_VALUE"""),"IEEE Global Engineering Education Conference")</f>
        <v>IEEE Global Engineering Education Conference</v>
      </c>
      <c r="D24">
        <f>IFERROR(__xludf.DUMMYFUNCTION("""COMPUTED_VALUE"""),32.0)</f>
        <v>32</v>
      </c>
      <c r="E24" s="193" t="str">
        <f>IFERROR(__xludf.DUMMYFUNCTION("""COMPUTED_VALUE"""),"https://scholar.google.com.br/citations?hl=pt-BR&amp;view_op=list_hcore&amp;venue=oWx0DwbR58MJ.2024")</f>
        <v>https://scholar.google.com.br/citations?hl=pt-BR&amp;view_op=list_hcore&amp;venue=oWx0DwbR58MJ.2024</v>
      </c>
      <c r="H24" t="str">
        <f>IFERROR(__xludf.DUMMYFUNCTION("""COMPUTED_VALUE"""),"IEEE Education Engineering")</f>
        <v>IEEE Education Engineering</v>
      </c>
      <c r="I24" s="60" t="str">
        <f>IFERROR(__xludf.DUMMYFUNCTION("""COMPUTED_VALUE"""),"https://dblp.org/db/conf/educon/")</f>
        <v>https://dblp.org/db/conf/educon/</v>
      </c>
    </row>
    <row r="25">
      <c r="A25" s="68" t="str">
        <f>IFERROR(__xludf.DUMMYFUNCTION("""COMPUTED_VALUE"""),"Eventos da Área")</f>
        <v>Eventos da Área</v>
      </c>
      <c r="B25" t="str">
        <f>IFERROR(__xludf.DUMMYFUNCTION("""COMPUTED_VALUE"""),"ICER")</f>
        <v>ICER</v>
      </c>
      <c r="C25" t="str">
        <f>IFERROR(__xludf.DUMMYFUNCTION("""COMPUTED_VALUE"""),"International Computing Education Research")</f>
        <v>International Computing Education Research</v>
      </c>
      <c r="D25">
        <f>IFERROR(__xludf.DUMMYFUNCTION("""COMPUTED_VALUE"""),32.0)</f>
        <v>32</v>
      </c>
      <c r="E25" s="193" t="str">
        <f>IFERROR(__xludf.DUMMYFUNCTION("""COMPUTED_VALUE"""),"https://scholar.google.com.br/citations?hl=pt-BR&amp;view_op=list_hcore&amp;venue=v0xCU4OEvKUJ.2024")</f>
        <v>https://scholar.google.com.br/citations?hl=pt-BR&amp;view_op=list_hcore&amp;venue=v0xCU4OEvKUJ.2024</v>
      </c>
      <c r="H25" t="str">
        <f>IFERROR(__xludf.DUMMYFUNCTION("""COMPUTED_VALUE"""),"International Computing Education Research Conference")</f>
        <v>International Computing Education Research Conference</v>
      </c>
      <c r="I25" s="60" t="str">
        <f>IFERROR(__xludf.DUMMYFUNCTION("""COMPUTED_VALUE"""),"https://dblp.org/db/conf/icer/")</f>
        <v>https://dblp.org/db/conf/icer/</v>
      </c>
    </row>
    <row r="26">
      <c r="A26" s="68" t="str">
        <f>IFERROR(__xludf.DUMMYFUNCTION("""COMPUTED_VALUE"""),"Eventos da Área")</f>
        <v>Eventos da Área</v>
      </c>
      <c r="B26" t="str">
        <f>IFERROR(__xludf.DUMMYFUNCTION("""COMPUTED_VALUE"""),"ASSETS")</f>
        <v>ASSETS</v>
      </c>
      <c r="C26" t="str">
        <f>IFERROR(__xludf.DUMMYFUNCTION("""COMPUTED_VALUE"""),"International ACM SIGACCESS Conference on Computers and Accessibility")</f>
        <v>International ACM SIGACCESS Conference on Computers and Accessibility</v>
      </c>
      <c r="D26">
        <f>IFERROR(__xludf.DUMMYFUNCTION("""COMPUTED_VALUE"""),32.0)</f>
        <v>32</v>
      </c>
      <c r="E26" s="193" t="str">
        <f>IFERROR(__xludf.DUMMYFUNCTION("""COMPUTED_VALUE"""),"https://scholar.google.com.br/citations?hl=pt-BR&amp;view_op=list_hcore&amp;venue=c5bgEi18VesJ.2024")</f>
        <v>https://scholar.google.com.br/citations?hl=pt-BR&amp;view_op=list_hcore&amp;venue=c5bgEi18VesJ.2024</v>
      </c>
      <c r="G26" t="str">
        <f>IFERROR(__xludf.DUMMYFUNCTION("""COMPUTED_VALUE"""),"International ACM Conference on Assistive Technologies")</f>
        <v>International ACM Conference on Assistive Technologies</v>
      </c>
      <c r="I26" s="60" t="str">
        <f>IFERROR(__xludf.DUMMYFUNCTION("""COMPUTED_VALUE"""),"https://dblp.org/db/conf/assets/")</f>
        <v>https://dblp.org/db/conf/assets/</v>
      </c>
    </row>
    <row r="27">
      <c r="A27" s="68" t="str">
        <f>IFERROR(__xludf.DUMMYFUNCTION("""COMPUTED_VALUE"""),"Eventos da Área")</f>
        <v>Eventos da Área</v>
      </c>
      <c r="B27" t="str">
        <f>IFERROR(__xludf.DUMMYFUNCTION("""COMPUTED_VALUE"""),"UMAP")</f>
        <v>UMAP</v>
      </c>
      <c r="C27" t="str">
        <f>IFERROR(__xludf.DUMMYFUNCTION("""COMPUTED_VALUE"""),"International Conference on User Modeling, Adaptation and Personalization")</f>
        <v>International Conference on User Modeling, Adaptation and Personalization</v>
      </c>
      <c r="D27">
        <f>IFERROR(__xludf.DUMMYFUNCTION("""COMPUTED_VALUE"""),31.0)</f>
        <v>31</v>
      </c>
      <c r="E27" s="193" t="str">
        <f>IFERROR(__xludf.DUMMYFUNCTION("""COMPUTED_VALUE"""),"https://scholar.google.com.br/citations?hl=pt-BR&amp;view_op=list_hcore&amp;venue=jtXTIwcBWV8J.2024")</f>
        <v>https://scholar.google.com.br/citations?hl=pt-BR&amp;view_op=list_hcore&amp;venue=jtXTIwcBWV8J.2024</v>
      </c>
      <c r="I27" s="60" t="str">
        <f>IFERROR(__xludf.DUMMYFUNCTION("""COMPUTED_VALUE"""),"https://dblp.org/db/conf/ah/")</f>
        <v>https://dblp.org/db/conf/ah/</v>
      </c>
    </row>
    <row r="28">
      <c r="A28" s="68" t="str">
        <f>IFERROR(__xludf.DUMMYFUNCTION("""COMPUTED_VALUE"""),"Eventos da Área")</f>
        <v>Eventos da Área</v>
      </c>
      <c r="B28" t="str">
        <f>IFERROR(__xludf.DUMMYFUNCTION("""COMPUTED_VALUE"""),"CSEE&amp;T")</f>
        <v>CSEE&amp;T</v>
      </c>
      <c r="C28" t="str">
        <f>IFERROR(__xludf.DUMMYFUNCTION("""COMPUTED_VALUE"""),"Conference on Software Engineering Education and Training")</f>
        <v>Conference on Software Engineering Education and Training</v>
      </c>
      <c r="D28">
        <f>IFERROR(__xludf.DUMMYFUNCTION("""COMPUTED_VALUE"""),21.0)</f>
        <v>21</v>
      </c>
      <c r="E28" s="193" t="str">
        <f>IFERROR(__xludf.DUMMYFUNCTION("""COMPUTED_VALUE"""),"https://scholar.google.com.br/citations?hl=pt-BR&amp;view_op=list_hcore&amp;venue=yIZ19I9U66oJ.2024")</f>
        <v>https://scholar.google.com.br/citations?hl=pt-BR&amp;view_op=list_hcore&amp;venue=yIZ19I9U66oJ.2024</v>
      </c>
      <c r="G28" t="str">
        <f>IFERROR(__xludf.DUMMYFUNCTION("""COMPUTED_VALUE"""),"ACM International Conference on Software Engineering: Software Engineering Education and Training")</f>
        <v>ACM International Conference on Software Engineering: Software Engineering Education and Training</v>
      </c>
      <c r="I28" s="60" t="str">
        <f>IFERROR(__xludf.DUMMYFUNCTION("""COMPUTED_VALUE"""),"https://dblp.org/db/conf/csee/")</f>
        <v>https://dblp.org/db/conf/csee/</v>
      </c>
    </row>
    <row r="29">
      <c r="A29" s="68" t="str">
        <f>IFERROR(__xludf.DUMMYFUNCTION("""COMPUTED_VALUE"""),"Eventos da Área")</f>
        <v>Eventos da Área</v>
      </c>
      <c r="B29" t="str">
        <f>IFERROR(__xludf.DUMMYFUNCTION("""COMPUTED_VALUE"""),"ICEIT")</f>
        <v>ICEIT</v>
      </c>
      <c r="C29" t="str">
        <f>IFERROR(__xludf.DUMMYFUNCTION("""COMPUTED_VALUE"""),"International Conference on Educational and Information Technology")</f>
        <v>International Conference on Educational and Information Technology</v>
      </c>
      <c r="D29">
        <f>IFERROR(__xludf.DUMMYFUNCTION("""COMPUTED_VALUE"""),10.0)</f>
        <v>10</v>
      </c>
      <c r="E29" s="193" t="str">
        <f>IFERROR(__xludf.DUMMYFUNCTION("""COMPUTED_VALUE"""),"https://scholar.google.com.br/citations?hl=en&amp;view_op=list_hcore&amp;venue=Lew4MSOMhc8J.2024")</f>
        <v>https://scholar.google.com.br/citations?hl=en&amp;view_op=list_hcore&amp;venue=Lew4MSOMhc8J.2024</v>
      </c>
      <c r="I29" s="60" t="str">
        <f>IFERROR(__xludf.DUMMYFUNCTION("""COMPUTED_VALUE"""),"https://dblp.org/db/conf/iceit/")</f>
        <v>https://dblp.org/db/conf/iceit/</v>
      </c>
    </row>
    <row r="30">
      <c r="A30" s="68" t="str">
        <f>IFERROR(__xludf.DUMMYFUNCTION("""COMPUTED_VALUE"""),"Eventos da Área")</f>
        <v>Eventos da Área</v>
      </c>
      <c r="B30" t="str">
        <f>IFERROR(__xludf.DUMMYFUNCTION("""COMPUTED_VALUE"""),"CRTL+E")</f>
        <v>CRTL+E</v>
      </c>
      <c r="C30" t="str">
        <f>IFERROR(__xludf.DUMMYFUNCTION("""COMPUTED_VALUE"""),"Congresso sobre Tecnologias na Educação")</f>
        <v>Congresso sobre Tecnologias na Educação</v>
      </c>
      <c r="D30">
        <f>IFERROR(__xludf.DUMMYFUNCTION("""COMPUTED_VALUE"""),8.0)</f>
        <v>8</v>
      </c>
      <c r="E30" s="193" t="str">
        <f>IFERROR(__xludf.DUMMYFUNCTION("""COMPUTED_VALUE"""),"https://scholar.google.com.br/citations?hl=pt-BR&amp;view_op=list_hcore&amp;venue=9haNtLW85T0J.2024")</f>
        <v>https://scholar.google.com.br/citations?hl=pt-BR&amp;view_op=list_hcore&amp;venue=9haNtLW85T0J.2024</v>
      </c>
      <c r="I30" t="str">
        <f>IFERROR(__xludf.DUMMYFUNCTION("""COMPUTED_VALUE"""),"não encontrado")</f>
        <v>não encontrado</v>
      </c>
      <c r="J30" s="60" t="str">
        <f>IFERROR(__xludf.DUMMYFUNCTION("""COMPUTED_VALUE"""),"https://sol.sbc.org.br/index.php/ctrle/issue/archive")</f>
        <v>https://sol.sbc.org.br/index.php/ctrle/issue/archive</v>
      </c>
    </row>
    <row r="31">
      <c r="A31" s="68" t="str">
        <f>IFERROR(__xludf.DUMMYFUNCTION("""COMPUTED_VALUE"""),"Eventos da Área")</f>
        <v>Eventos da Área</v>
      </c>
      <c r="B31" t="str">
        <f>IFERROR(__xludf.DUMMYFUNCTION("""COMPUTED_VALUE"""),"TECH-EDU")</f>
        <v>TECH-EDU</v>
      </c>
      <c r="C31" t="str">
        <f>IFERROR(__xludf.DUMMYFUNCTION("""COMPUTED_VALUE"""),"International Conference on Technology and Innovation in Learning, Teaching and Education")</f>
        <v>International Conference on Technology and Innovation in Learning, Teaching and Education</v>
      </c>
      <c r="E31" s="193" t="str">
        <f>IFERROR(__xludf.DUMMYFUNCTION("""COMPUTED_VALUE"""),"não encontrado")</f>
        <v>não encontrado</v>
      </c>
      <c r="I31" s="60" t="str">
        <f>IFERROR(__xludf.DUMMYFUNCTION("""COMPUTED_VALUE"""),"https://dblp.org/db/conf/techedu/")</f>
        <v>https://dblp.org/db/conf/techedu/</v>
      </c>
    </row>
    <row r="32">
      <c r="A32" s="68" t="str">
        <f>IFERROR(__xludf.DUMMYFUNCTION("""COMPUTED_VALUE"""),"Eventos da Área")</f>
        <v>Eventos da Área</v>
      </c>
      <c r="B32" t="str">
        <f>IFERROR(__xludf.DUMMYFUNCTION("""COMPUTED_VALUE"""),"ICCE-EDU")</f>
        <v>ICCE-EDU</v>
      </c>
      <c r="C32" t="str">
        <f>IFERROR(__xludf.DUMMYFUNCTION("""COMPUTED_VALUE"""),"International Conference on Computers in Education")</f>
        <v>International Conference on Computers in Education</v>
      </c>
      <c r="E32" s="193" t="str">
        <f>IFERROR(__xludf.DUMMYFUNCTION("""COMPUTED_VALUE"""),"não encontrado")</f>
        <v>não encontrado</v>
      </c>
      <c r="I32" s="60" t="str">
        <f>IFERROR(__xludf.DUMMYFUNCTION("""COMPUTED_VALUE"""),"https://dblp.org/db/conf/icce/")</f>
        <v>https://dblp.org/db/conf/icce/</v>
      </c>
    </row>
    <row r="33">
      <c r="A33" s="68" t="str">
        <f>IFERROR(__xludf.DUMMYFUNCTION("""COMPUTED_VALUE"""),"Eventos da Área")</f>
        <v>Eventos da Área</v>
      </c>
      <c r="B33" t="str">
        <f>IFERROR(__xludf.DUMMYFUNCTION("""COMPUTED_VALUE"""),"E-Learning")</f>
        <v>E-Learning</v>
      </c>
      <c r="C33" t="str">
        <f>IFERROR(__xludf.DUMMYFUNCTION("""COMPUTED_VALUE"""),"IADIS International Conference on e-Learning")</f>
        <v>IADIS International Conference on e-Learning</v>
      </c>
      <c r="E33" s="193" t="str">
        <f>IFERROR(__xludf.DUMMYFUNCTION("""COMPUTED_VALUE"""),"não encontrado")</f>
        <v>não encontrado</v>
      </c>
      <c r="I33" s="60" t="str">
        <f>IFERROR(__xludf.DUMMYFUNCTION("""COMPUTED_VALUE"""),"https://dblp.org/db/conf/iadisel/")</f>
        <v>https://dblp.org/db/conf/iadisel/</v>
      </c>
    </row>
    <row r="34">
      <c r="A34" s="68" t="str">
        <f>IFERROR(__xludf.DUMMYFUNCTION("""COMPUTED_VALUE"""),"Eventos da Área")</f>
        <v>Eventos da Área</v>
      </c>
      <c r="B34" t="str">
        <f>IFERROR(__xludf.DUMMYFUNCTION("""COMPUTED_VALUE"""),"ISECON")</f>
        <v>ISECON</v>
      </c>
      <c r="C34" t="str">
        <f>IFERROR(__xludf.DUMMYFUNCTION("""COMPUTED_VALUE"""),"Information Systems Education Conference")</f>
        <v>Information Systems Education Conference</v>
      </c>
      <c r="E34" s="193" t="str">
        <f>IFERROR(__xludf.DUMMYFUNCTION("""COMPUTED_VALUE"""),"não encontrado")</f>
        <v>não encontrado</v>
      </c>
      <c r="I34" t="str">
        <f>IFERROR(__xludf.DUMMYFUNCTION("""COMPUTED_VALUE"""),"não encontrado")</f>
        <v>não encontrado</v>
      </c>
    </row>
    <row r="35">
      <c r="A35" s="68" t="str">
        <f>IFERROR(__xludf.DUMMYFUNCTION("""COMPUTED_VALUE"""),"Eventos da Área")</f>
        <v>Eventos da Área</v>
      </c>
      <c r="B35" t="str">
        <f>IFERROR(__xludf.DUMMYFUNCTION("""COMPUTED_VALUE"""),"CELDA")</f>
        <v>CELDA</v>
      </c>
      <c r="C35" t="str">
        <f>IFERROR(__xludf.DUMMYFUNCTION("""COMPUTED_VALUE"""),"Cognition and Exploratory Learning in Digital Age")</f>
        <v>Cognition and Exploratory Learning in Digital Age</v>
      </c>
      <c r="E35" s="193" t="str">
        <f>IFERROR(__xludf.DUMMYFUNCTION("""COMPUTED_VALUE"""),"não encontrado")</f>
        <v>não encontrado</v>
      </c>
      <c r="I35" s="60" t="str">
        <f>IFERROR(__xludf.DUMMYFUNCTION("""COMPUTED_VALUE"""),"https://dblp.org/db/conf/iadiscelda/")</f>
        <v>https://dblp.org/db/conf/iadiscelda/</v>
      </c>
    </row>
    <row r="36">
      <c r="A36" s="68" t="str">
        <f>IFERROR(__xludf.DUMMYFUNCTION("""COMPUTED_VALUE"""),"Eventos da Área")</f>
        <v>Eventos da Área</v>
      </c>
      <c r="B36" t="str">
        <f>IFERROR(__xludf.DUMMYFUNCTION("""COMPUTED_VALUE"""),"CATE")</f>
        <v>CATE</v>
      </c>
      <c r="C36" t="str">
        <f>IFERROR(__xludf.DUMMYFUNCTION("""COMPUTED_VALUE"""),"Computers and Advanced Technology in Education")</f>
        <v>Computers and Advanced Technology in Education</v>
      </c>
      <c r="E36" s="193" t="str">
        <f>IFERROR(__xludf.DUMMYFUNCTION("""COMPUTED_VALUE"""),"não encontrado")</f>
        <v>não encontrado</v>
      </c>
      <c r="I36" s="60" t="str">
        <f>IFERROR(__xludf.DUMMYFUNCTION("""COMPUTED_VALUE"""),"https://dblp.org/db/conf/cate/")</f>
        <v>https://dblp.org/db/conf/cate/</v>
      </c>
    </row>
    <row r="37">
      <c r="A37" s="68" t="str">
        <f>IFERROR(__xludf.DUMMYFUNCTION("""COMPUTED_VALUE"""),"Eventos da Área")</f>
        <v>Eventos da Área</v>
      </c>
      <c r="B37" t="str">
        <f>IFERROR(__xludf.DUMMYFUNCTION("""COMPUTED_VALUE"""),"WCCE")</f>
        <v>WCCE</v>
      </c>
      <c r="C37" t="str">
        <f>IFERROR(__xludf.DUMMYFUNCTION("""COMPUTED_VALUE"""),"IFIP World Conference on Computers in Education")</f>
        <v>IFIP World Conference on Computers in Education</v>
      </c>
      <c r="E37" s="193" t="str">
        <f>IFERROR(__xludf.DUMMYFUNCTION("""COMPUTED_VALUE"""),"não encontrado")</f>
        <v>não encontrado</v>
      </c>
      <c r="I37" s="60" t="str">
        <f>IFERROR(__xludf.DUMMYFUNCTION("""COMPUTED_VALUE"""),"https://dblp.org/db/conf/wcce/")</f>
        <v>https://dblp.org/db/conf/wcce/</v>
      </c>
    </row>
    <row r="38">
      <c r="A38" s="68" t="str">
        <f>IFERROR(__xludf.DUMMYFUNCTION("""COMPUTED_VALUE"""),"Eventos da Área")</f>
        <v>Eventos da Área</v>
      </c>
      <c r="B38" t="str">
        <f>IFERROR(__xludf.DUMMYFUNCTION("""COMPUTED_VALUE"""),"TISE")</f>
        <v>TISE</v>
      </c>
      <c r="C38" t="str">
        <f>IFERROR(__xludf.DUMMYFUNCTION("""COMPUTED_VALUE"""),"Congreso Internacional de Informática Educativa")</f>
        <v>Congreso Internacional de Informática Educativa</v>
      </c>
      <c r="E38" s="193" t="str">
        <f>IFERROR(__xludf.DUMMYFUNCTION("""COMPUTED_VALUE"""),"não encontrado")</f>
        <v>não encontrado</v>
      </c>
      <c r="I38" t="str">
        <f>IFERROR(__xludf.DUMMYFUNCTION("""COMPUTED_VALUE"""),"não encontrado")</f>
        <v>não encontrado</v>
      </c>
    </row>
    <row r="39">
      <c r="A39" s="68" t="str">
        <f>IFERROR(__xludf.DUMMYFUNCTION("""COMPUTED_VALUE"""),"Eventos da Área")</f>
        <v>Eventos da Área</v>
      </c>
      <c r="B39" t="str">
        <f>IFERROR(__xludf.DUMMYFUNCTION("""COMPUTED_VALUE"""),"EDUCOMP")</f>
        <v>EDUCOMP</v>
      </c>
      <c r="C39" t="str">
        <f>IFERROR(__xludf.DUMMYFUNCTION("""COMPUTED_VALUE"""),"Simpósio Brasileiro de Educação em Computação")</f>
        <v>Simpósio Brasileiro de Educação em Computação</v>
      </c>
      <c r="D39">
        <f>IFERROR(__xludf.DUMMYFUNCTION("""COMPUTED_VALUE"""),7.0)</f>
        <v>7</v>
      </c>
      <c r="E39" s="193" t="str">
        <f>IFERROR(__xludf.DUMMYFUNCTION("""COMPUTED_VALUE"""),"https://scholar.google.com.br/citations?hl=pt-BR&amp;view_op=list_hcore&amp;venue=9d69RZLoOs8J.2024")</f>
        <v>https://scholar.google.com.br/citations?hl=pt-BR&amp;view_op=list_hcore&amp;venue=9d69RZLoOs8J.2024</v>
      </c>
      <c r="I39" t="str">
        <f>IFERROR(__xludf.DUMMYFUNCTION("""COMPUTED_VALUE"""),"não encontrado")</f>
        <v>não encontrado</v>
      </c>
      <c r="J39" s="60" t="str">
        <f>IFERROR(__xludf.DUMMYFUNCTION("""COMPUTED_VALUE"""),"https://sol.sbc.org.br/index.php/educomp/issue/archive")</f>
        <v>https://sol.sbc.org.br/index.php/educomp/issue/archive</v>
      </c>
    </row>
    <row r="40">
      <c r="A40" s="68" t="str">
        <f>IFERROR(__xludf.DUMMYFUNCTION("""COMPUTED_VALUE"""),"Eventos da Área")</f>
        <v>Eventos da Área</v>
      </c>
      <c r="B40" t="str">
        <f>IFERROR(__xludf.DUMMYFUNCTION("""COMPUTED_VALUE"""),"ICSLE")</f>
        <v>ICSLE</v>
      </c>
      <c r="C40" t="str">
        <f>IFERROR(__xludf.DUMMYFUNCTION("""COMPUTED_VALUE"""),"International Conference on Smart Learning Environments")</f>
        <v>International Conference on Smart Learning Environments</v>
      </c>
      <c r="E40" s="193" t="str">
        <f>IFERROR(__xludf.DUMMYFUNCTION("""COMPUTED_VALUE"""),"não encontrado")</f>
        <v>não encontrado</v>
      </c>
      <c r="I40" s="60" t="str">
        <f>IFERROR(__xludf.DUMMYFUNCTION("""COMPUTED_VALUE"""),"https://dblp.org/db/conf/icsle/")</f>
        <v>https://dblp.org/db/conf/icsle/</v>
      </c>
    </row>
    <row r="41">
      <c r="A41" s="68" t="str">
        <f>IFERROR(__xludf.DUMMYFUNCTION("""COMPUTED_VALUE"""),"Eventos da Área")</f>
        <v>Eventos da Área</v>
      </c>
      <c r="B41" t="str">
        <f>IFERROR(__xludf.DUMMYFUNCTION("""COMPUTED_VALUE"""),"T4E")</f>
        <v>T4E</v>
      </c>
      <c r="C41" t="str">
        <f>IFERROR(__xludf.DUMMYFUNCTION("""COMPUTED_VALUE"""),"International conference on Technology 4 Education")</f>
        <v>International conference on Technology 4 Education</v>
      </c>
      <c r="E41" s="193" t="str">
        <f>IFERROR(__xludf.DUMMYFUNCTION("""COMPUTED_VALUE"""),"não encontrado")</f>
        <v>não encontrado</v>
      </c>
      <c r="I41" s="60" t="str">
        <f>IFERROR(__xludf.DUMMYFUNCTION("""COMPUTED_VALUE"""),"https://dblp.org/db/conf/t4e/index.html")</f>
        <v>https://dblp.org/db/conf/t4e/index.html</v>
      </c>
    </row>
    <row r="42">
      <c r="A42" s="68" t="str">
        <f>IFERROR(__xludf.DUMMYFUNCTION("""COMPUTED_VALUE"""),"Eventos da Área")</f>
        <v>Eventos da Área</v>
      </c>
      <c r="E42" s="193"/>
    </row>
    <row r="43">
      <c r="A43" s="68" t="str">
        <f>IFERROR(__xludf.DUMMYFUNCTION("""COMPUTED_VALUE"""),"Eventos da Área")</f>
        <v>Eventos da Área</v>
      </c>
    </row>
    <row r="44">
      <c r="A44" s="68" t="str">
        <f>IFERROR(__xludf.DUMMYFUNCTION("""COMPUTED_VALUE"""),"Eventos da Área")</f>
        <v>Eventos da Área</v>
      </c>
    </row>
    <row r="45">
      <c r="A45" s="68" t="str">
        <f>IFERROR(__xludf.DUMMYFUNCTION("""COMPUTED_VALUE"""),"Eventos da Área")</f>
        <v>Eventos da Área</v>
      </c>
    </row>
    <row r="46">
      <c r="A46" s="68" t="str">
        <f>IFERROR(__xludf.DUMMYFUNCTION("""COMPUTED_VALUE"""),"Eventos da Área")</f>
        <v>Eventos da Área</v>
      </c>
    </row>
    <row r="47">
      <c r="A47" s="68" t="str">
        <f>IFERROR(__xludf.DUMMYFUNCTION("""COMPUTED_VALUE"""),"Eventos da Área")</f>
        <v>Eventos da Área</v>
      </c>
    </row>
    <row r="48">
      <c r="A48" s="68" t="str">
        <f>IFERROR(__xludf.DUMMYFUNCTION("""COMPUTED_VALUE"""),"Eventos da Área")</f>
        <v>Eventos da Área</v>
      </c>
    </row>
    <row r="49">
      <c r="A49" s="68" t="str">
        <f>IFERROR(__xludf.DUMMYFUNCTION("""COMPUTED_VALUE"""),"Eventos da Área")</f>
        <v>Eventos da Área</v>
      </c>
    </row>
    <row r="50">
      <c r="A50" s="68" t="str">
        <f>IFERROR(__xludf.DUMMYFUNCTION("""COMPUTED_VALUE"""),"Eventos da Área")</f>
        <v>Eventos da Área</v>
      </c>
    </row>
    <row r="51">
      <c r="A51" s="68" t="str">
        <f>IFERROR(__xludf.DUMMYFUNCTION("""COMPUTED_VALUE"""),"Eventos da Área")</f>
        <v>Eventos da Área</v>
      </c>
    </row>
    <row r="52">
      <c r="A52" s="68" t="str">
        <f>IFERROR(__xludf.DUMMYFUNCTION("""COMPUTED_VALUE"""),"Eventos da Área")</f>
        <v>Eventos da Área</v>
      </c>
    </row>
    <row r="53">
      <c r="A53" s="68" t="str">
        <f>IFERROR(__xludf.DUMMYFUNCTION("""COMPUTED_VALUE"""),"Eventos da Área")</f>
        <v>Eventos da Área</v>
      </c>
    </row>
    <row r="54">
      <c r="A54" s="68" t="str">
        <f>IFERROR(__xludf.DUMMYFUNCTION("""COMPUTED_VALUE"""),"Eventos da Área")</f>
        <v>Eventos da Área</v>
      </c>
    </row>
    <row r="55">
      <c r="A55" s="68" t="str">
        <f>IFERROR(__xludf.DUMMYFUNCTION("""COMPUTED_VALUE"""),"Eventos da Área")</f>
        <v>Eventos da Área</v>
      </c>
    </row>
    <row r="56">
      <c r="A56" s="68" t="str">
        <f>IFERROR(__xludf.DUMMYFUNCTION("""COMPUTED_VALUE"""),"Eventos da Área")</f>
        <v>Eventos da Área</v>
      </c>
    </row>
    <row r="57">
      <c r="A57" s="68" t="str">
        <f>IFERROR(__xludf.DUMMYFUNCTION("""COMPUTED_VALUE"""),"Eventos da Área")</f>
        <v>Eventos da Área</v>
      </c>
    </row>
    <row r="58">
      <c r="A58" t="str">
        <f>IFERROR(__xludf.DUMMYFUNCTION("""COMPUTED_VALUE"""),"Eventos da Área")</f>
        <v>Eventos da Área</v>
      </c>
    </row>
    <row r="59">
      <c r="A59" t="str">
        <f>IFERROR(__xludf.DUMMYFUNCTION("""COMPUTED_VALUE"""),"Eventos da Área")</f>
        <v>Eventos da Área</v>
      </c>
    </row>
    <row r="60">
      <c r="A60" t="str">
        <f>IFERROR(__xludf.DUMMYFUNCTION("""COMPUTED_VALUE"""),"Eventos da Área")</f>
        <v>Eventos da Área</v>
      </c>
    </row>
    <row r="61">
      <c r="A61" t="str">
        <f>IFERROR(__xludf.DUMMYFUNCTION("""COMPUTED_VALUE"""),"Eventos da Área")</f>
        <v>Eventos da Área</v>
      </c>
    </row>
    <row r="62">
      <c r="A62" t="str">
        <f>IFERROR(__xludf.DUMMYFUNCTION("""COMPUTED_VALUE"""),"Eventos da Área")</f>
        <v>Eventos da Área</v>
      </c>
    </row>
    <row r="63">
      <c r="A63" t="str">
        <f>IFERROR(__xludf.DUMMYFUNCTION("""COMPUTED_VALUE"""),"Eventos da Área")</f>
        <v>Eventos da Área</v>
      </c>
    </row>
    <row r="64">
      <c r="A64" t="str">
        <f>IFERROR(__xludf.DUMMYFUNCTION("""COMPUTED_VALUE"""),"Eventos da Área")</f>
        <v>Eventos da Área</v>
      </c>
    </row>
    <row r="65">
      <c r="A65" t="str">
        <f>IFERROR(__xludf.DUMMYFUNCTION("""COMPUTED_VALUE"""),"Eventos da Área")</f>
        <v>Eventos da Área</v>
      </c>
    </row>
    <row r="66">
      <c r="A66" t="str">
        <f>IFERROR(__xludf.DUMMYFUNCTION("""COMPUTED_VALUE"""),"Eventos da Área")</f>
        <v>Eventos da Área</v>
      </c>
    </row>
    <row r="67">
      <c r="A67" t="str">
        <f>IFERROR(__xludf.DUMMYFUNCTION("""COMPUTED_VALUE"""),"Eventos da Área")</f>
        <v>Eventos da Área</v>
      </c>
    </row>
    <row r="68">
      <c r="A68" t="str">
        <f>IFERROR(__xludf.DUMMYFUNCTION("""COMPUTED_VALUE"""),"Eventos da Área")</f>
        <v>Eventos da Área</v>
      </c>
    </row>
    <row r="69">
      <c r="A69" t="str">
        <f>IFERROR(__xludf.DUMMYFUNCTION("""COMPUTED_VALUE"""),"Eventos da Área")</f>
        <v>Eventos da Área</v>
      </c>
    </row>
    <row r="70">
      <c r="A70" t="str">
        <f>IFERROR(__xludf.DUMMYFUNCTION("""COMPUTED_VALUE"""),"Eventos da Área")</f>
        <v>Eventos da Área</v>
      </c>
    </row>
    <row r="71">
      <c r="A71" t="str">
        <f>IFERROR(__xludf.DUMMYFUNCTION("""COMPUTED_VALUE"""),"Eventos da Área")</f>
        <v>Eventos da Área</v>
      </c>
    </row>
    <row r="72">
      <c r="A72" t="str">
        <f>IFERROR(__xludf.DUMMYFUNCTION("""COMPUTED_VALUE"""),"Eventos da Área")</f>
        <v>Eventos da Área</v>
      </c>
    </row>
    <row r="73">
      <c r="A73" t="str">
        <f>IFERROR(__xludf.DUMMYFUNCTION("""COMPUTED_VALUE"""),"Eventos da Área")</f>
        <v>Eventos da Área</v>
      </c>
    </row>
    <row r="74">
      <c r="A74" t="str">
        <f>IFERROR(__xludf.DUMMYFUNCTION("""COMPUTED_VALUE"""),"Eventos da Área")</f>
        <v>Eventos da Área</v>
      </c>
    </row>
    <row r="75">
      <c r="A75" t="str">
        <f>IFERROR(__xludf.DUMMYFUNCTION("""COMPUTED_VALUE"""),"Eventos da Área")</f>
        <v>Eventos da Área</v>
      </c>
    </row>
    <row r="76">
      <c r="A76" t="str">
        <f>IFERROR(__xludf.DUMMYFUNCTION("""COMPUTED_VALUE"""),"Eventos da Área")</f>
        <v>Eventos da Área</v>
      </c>
    </row>
    <row r="77">
      <c r="A77" t="str">
        <f>IFERROR(__xludf.DUMMYFUNCTION("""COMPUTED_VALUE"""),"Eventos da Área")</f>
        <v>Eventos da Área</v>
      </c>
    </row>
    <row r="78">
      <c r="A78" t="str">
        <f>IFERROR(__xludf.DUMMYFUNCTION("""COMPUTED_VALUE"""),"Eventos da Área")</f>
        <v>Eventos da Área</v>
      </c>
    </row>
    <row r="79">
      <c r="A79" t="str">
        <f>IFERROR(__xludf.DUMMYFUNCTION("""COMPUTED_VALUE"""),"Eventos da Área")</f>
        <v>Eventos da Área</v>
      </c>
    </row>
    <row r="80">
      <c r="A80" t="str">
        <f>IFERROR(__xludf.DUMMYFUNCTION("""COMPUTED_VALUE"""),"Eventos da Área")</f>
        <v>Eventos da Área</v>
      </c>
    </row>
    <row r="81">
      <c r="A81" t="str">
        <f>IFERROR(__xludf.DUMMYFUNCTION("""COMPUTED_VALUE"""),"Eventos da Área")</f>
        <v>Eventos da Área</v>
      </c>
    </row>
    <row r="82">
      <c r="A82" t="str">
        <f>IFERROR(__xludf.DUMMYFUNCTION("""COMPUTED_VALUE"""),"Eventos da Área")</f>
        <v>Eventos da Área</v>
      </c>
    </row>
    <row r="83">
      <c r="A83" t="str">
        <f>IFERROR(__xludf.DUMMYFUNCTION("""COMPUTED_VALUE"""),"Eventos da Área")</f>
        <v>Eventos da Área</v>
      </c>
    </row>
    <row r="84">
      <c r="A84" t="str">
        <f>IFERROR(__xludf.DUMMYFUNCTION("""COMPUTED_VALUE"""),"Eventos da Área")</f>
        <v>Eventos da Área</v>
      </c>
    </row>
    <row r="85">
      <c r="A85" t="str">
        <f>IFERROR(__xludf.DUMMYFUNCTION("""COMPUTED_VALUE"""),"Eventos da Área")</f>
        <v>Eventos da Área</v>
      </c>
    </row>
    <row r="86">
      <c r="A86" t="str">
        <f>IFERROR(__xludf.DUMMYFUNCTION("""COMPUTED_VALUE"""),"Eventos da Área")</f>
        <v>Eventos da Área</v>
      </c>
    </row>
    <row r="87">
      <c r="A87" t="str">
        <f>IFERROR(__xludf.DUMMYFUNCTION("""COMPUTED_VALUE"""),"Eventos da Área")</f>
        <v>Eventos da Área</v>
      </c>
    </row>
    <row r="88">
      <c r="A88" t="str">
        <f>IFERROR(__xludf.DUMMYFUNCTION("""COMPUTED_VALUE"""),"Eventos da Área")</f>
        <v>Eventos da Área</v>
      </c>
    </row>
    <row r="89">
      <c r="A89" t="str">
        <f>IFERROR(__xludf.DUMMYFUNCTION("""COMPUTED_VALUE"""),"Eventos da Área")</f>
        <v>Eventos da Área</v>
      </c>
    </row>
    <row r="90">
      <c r="A90" t="str">
        <f>IFERROR(__xludf.DUMMYFUNCTION("""COMPUTED_VALUE"""),"Eventos da Área")</f>
        <v>Eventos da Área</v>
      </c>
    </row>
    <row r="91">
      <c r="A91" t="str">
        <f>IFERROR(__xludf.DUMMYFUNCTION("""COMPUTED_VALUE"""),"Eventos da Área")</f>
        <v>Eventos da Área</v>
      </c>
    </row>
    <row r="92">
      <c r="A92" t="str">
        <f>IFERROR(__xludf.DUMMYFUNCTION("""COMPUTED_VALUE"""),"Eventos da Área")</f>
        <v>Eventos da Área</v>
      </c>
    </row>
    <row r="93">
      <c r="A93" t="str">
        <f>IFERROR(__xludf.DUMMYFUNCTION("""COMPUTED_VALUE"""),"Eventos da Área")</f>
        <v>Eventos da Área</v>
      </c>
    </row>
    <row r="94">
      <c r="A94" t="str">
        <f>IFERROR(__xludf.DUMMYFUNCTION("""COMPUTED_VALUE"""),"Eventos da Área")</f>
        <v>Eventos da Área</v>
      </c>
    </row>
    <row r="95">
      <c r="A95" t="str">
        <f>IFERROR(__xludf.DUMMYFUNCTION("""COMPUTED_VALUE"""),"Eventos da Área")</f>
        <v>Eventos da Área</v>
      </c>
    </row>
    <row r="96">
      <c r="A96" t="str">
        <f>IFERROR(__xludf.DUMMYFUNCTION("""COMPUTED_VALUE"""),"Eventos da Área")</f>
        <v>Eventos da Área</v>
      </c>
    </row>
    <row r="97">
      <c r="A97" t="str">
        <f>IFERROR(__xludf.DUMMYFUNCTION("""COMPUTED_VALUE"""),"Eventos da Área")</f>
        <v>Eventos da Área</v>
      </c>
    </row>
    <row r="98">
      <c r="A98" t="str">
        <f>IFERROR(__xludf.DUMMYFUNCTION("""COMPUTED_VALUE"""),"Eventos da Área")</f>
        <v>Eventos da Área</v>
      </c>
    </row>
    <row r="99">
      <c r="A99" t="str">
        <f>IFERROR(__xludf.DUMMYFUNCTION("""COMPUTED_VALUE"""),"Eventos da Área")</f>
        <v>Eventos da Área</v>
      </c>
    </row>
    <row r="100">
      <c r="A100" t="str">
        <f>IFERROR(__xludf.DUMMYFUNCTION("""COMPUTED_VALUE"""),"Eventos da Área")</f>
        <v>Eventos da Área</v>
      </c>
    </row>
    <row r="101">
      <c r="A101" t="str">
        <f>IFERROR(__xludf.DUMMYFUNCTION("""COMPUTED_VALUE"""),"Eventos da Área")</f>
        <v>Eventos da Área</v>
      </c>
    </row>
  </sheetData>
  <hyperlinks>
    <hyperlink r:id="rId1" ref="E2"/>
    <hyperlink r:id="rId2" ref="J2"/>
    <hyperlink r:id="rId3" ref="E3"/>
    <hyperlink r:id="rId4" ref="J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E10"/>
    <hyperlink r:id="rId18" ref="I10"/>
    <hyperlink r:id="rId19" ref="E11"/>
    <hyperlink r:id="rId20" ref="I11"/>
    <hyperlink r:id="rId21" ref="E12"/>
    <hyperlink r:id="rId22" ref="I12"/>
    <hyperlink r:id="rId23" ref="E13"/>
    <hyperlink r:id="rId24" ref="E14"/>
    <hyperlink r:id="rId25" ref="E15"/>
    <hyperlink r:id="rId26" ref="E16"/>
    <hyperlink r:id="rId27" ref="E17"/>
    <hyperlink r:id="rId28" ref="E18"/>
    <hyperlink r:id="rId29" ref="I18"/>
    <hyperlink r:id="rId30" ref="E19"/>
    <hyperlink r:id="rId31" ref="I19"/>
    <hyperlink r:id="rId32" ref="E20"/>
    <hyperlink r:id="rId33" ref="I20"/>
    <hyperlink r:id="rId34" ref="E21"/>
    <hyperlink r:id="rId35" ref="E22"/>
    <hyperlink r:id="rId36" ref="I22"/>
    <hyperlink r:id="rId37" ref="E23"/>
    <hyperlink r:id="rId38" ref="I23"/>
    <hyperlink r:id="rId39" ref="E24"/>
    <hyperlink r:id="rId40" ref="I24"/>
    <hyperlink r:id="rId41" ref="E25"/>
    <hyperlink r:id="rId42" ref="I25"/>
    <hyperlink r:id="rId43" ref="E26"/>
    <hyperlink r:id="rId44" ref="I26"/>
    <hyperlink r:id="rId45" ref="E27"/>
    <hyperlink r:id="rId46" ref="I27"/>
    <hyperlink r:id="rId47" ref="E28"/>
    <hyperlink r:id="rId48" ref="I28"/>
    <hyperlink r:id="rId49" ref="E29"/>
    <hyperlink r:id="rId50" ref="I29"/>
    <hyperlink r:id="rId51" ref="E30"/>
    <hyperlink r:id="rId52" ref="J30"/>
    <hyperlink r:id="rId53" ref="I31"/>
    <hyperlink r:id="rId54" ref="I32"/>
    <hyperlink r:id="rId55" ref="I33"/>
    <hyperlink r:id="rId56" ref="I35"/>
    <hyperlink r:id="rId57" ref="I36"/>
    <hyperlink r:id="rId58" ref="I37"/>
    <hyperlink r:id="rId59" ref="E39"/>
    <hyperlink r:id="rId60" ref="J39"/>
    <hyperlink r:id="rId61" ref="I40"/>
    <hyperlink r:id="rId62" ref="I41"/>
  </hyperlinks>
  <drawing r:id="rId63"/>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76.25"/>
    <col customWidth="1" min="7" max="7" width="33.13"/>
    <col customWidth="1" min="8" max="8" width="31.0"/>
    <col customWidth="1" min="9" max="9" width="41.38"/>
    <col customWidth="1" min="10" max="10" width="35.63"/>
  </cols>
  <sheetData>
    <row r="1">
      <c r="A1" s="1" t="str">
        <f>IFERROR(__xludf.DUMMYFUNCTION("importrange(""https://docs.google.com/spreadsheets/d/1O3fg7PNsinYGnNeALjyVcAV4S2p2jZSUqFbIjsUgnpY/edit#gid=770702863"",""CE-SI!A1:J150"")"),"TOP")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58" t="str">
        <f>IFERROR(__xludf.DUMMYFUNCTION("""COMPUTED_VALUE"""),"Top 10")</f>
        <v>Top 10</v>
      </c>
      <c r="B2" s="198" t="str">
        <f>IFERROR(__xludf.DUMMYFUNCTION("""COMPUTED_VALUE"""),"ECIS")</f>
        <v>ECIS</v>
      </c>
      <c r="C2" s="14" t="str">
        <f>IFERROR(__xludf.DUMMYFUNCTION("""COMPUTED_VALUE"""),"European Conference on Information Systems")</f>
        <v>European Conference on Information Systems</v>
      </c>
      <c r="D2" s="14">
        <f>IFERROR(__xludf.DUMMYFUNCTION("""COMPUTED_VALUE"""),39.0)</f>
        <v>39</v>
      </c>
      <c r="E2" s="199" t="str">
        <f>IFERROR(__xludf.DUMMYFUNCTION("""COMPUTED_VALUE"""),"https://scholar.google.com.br/citations?hl=pt-PT&amp;view_op=list_hcore&amp;venue=dF8xpB0_PnwJ.2024")</f>
        <v>https://scholar.google.com.br/citations?hl=pt-PT&amp;view_op=list_hcore&amp;venue=dF8xpB0_PnwJ.2024</v>
      </c>
      <c r="F2" s="16"/>
      <c r="G2" s="30"/>
      <c r="H2" s="30"/>
      <c r="I2" s="200" t="str">
        <f>IFERROR(__xludf.DUMMYFUNCTION("""COMPUTED_VALUE"""),"https://dblp.org/db/conf/ecis/index.html")</f>
        <v>https://dblp.org/db/conf/ecis/index.html</v>
      </c>
      <c r="J2" s="201"/>
      <c r="K2" s="30"/>
    </row>
    <row r="3">
      <c r="A3" s="58" t="str">
        <f>IFERROR(__xludf.DUMMYFUNCTION("""COMPUTED_VALUE"""),"Top 10")</f>
        <v>Top 10</v>
      </c>
      <c r="B3" s="198" t="str">
        <f>IFERROR(__xludf.DUMMYFUNCTION("""COMPUTED_VALUE"""),"ICIS")</f>
        <v>ICIS</v>
      </c>
      <c r="C3" s="14" t="str">
        <f>IFERROR(__xludf.DUMMYFUNCTION("""COMPUTED_VALUE"""),"International Conference on Information Systems")</f>
        <v>International Conference on Information Systems</v>
      </c>
      <c r="D3" s="14">
        <f>IFERROR(__xludf.DUMMYFUNCTION("""COMPUTED_VALUE"""),39.0)</f>
        <v>39</v>
      </c>
      <c r="E3" s="199" t="str">
        <f>IFERROR(__xludf.DUMMYFUNCTION("""COMPUTED_VALUE"""),"https://scholar.google.com.br/citations?hl=pt-PT&amp;view_op=list_hcore&amp;venue=hL4tvEz50McJ.2024")</f>
        <v>https://scholar.google.com.br/citations?hl=pt-PT&amp;view_op=list_hcore&amp;venue=hL4tvEz50McJ.2024</v>
      </c>
      <c r="F3" s="16"/>
      <c r="G3" s="30"/>
      <c r="H3" s="30"/>
      <c r="I3" s="200" t="str">
        <f>IFERROR(__xludf.DUMMYFUNCTION("""COMPUTED_VALUE"""),"https://dblp.org/db/conf/icis/index.html")</f>
        <v>https://dblp.org/db/conf/icis/index.html</v>
      </c>
      <c r="J3" s="201"/>
      <c r="K3" s="30"/>
    </row>
    <row r="4">
      <c r="A4" s="58" t="str">
        <f>IFERROR(__xludf.DUMMYFUNCTION("""COMPUTED_VALUE"""),"Top 10")</f>
        <v>Top 10</v>
      </c>
      <c r="B4" s="198" t="str">
        <f>IFERROR(__xludf.DUMMYFUNCTION("""COMPUTED_VALUE"""),"AMCIS")</f>
        <v>AMCIS</v>
      </c>
      <c r="C4" s="14" t="str">
        <f>IFERROR(__xludf.DUMMYFUNCTION("""COMPUTED_VALUE"""),"Americas Conference on Information Systems")</f>
        <v>Americas Conference on Information Systems</v>
      </c>
      <c r="D4" s="14">
        <f>IFERROR(__xludf.DUMMYFUNCTION("""COMPUTED_VALUE"""),29.0)</f>
        <v>29</v>
      </c>
      <c r="E4" s="199" t="str">
        <f>IFERROR(__xludf.DUMMYFUNCTION("""COMPUTED_VALUE"""),"https://scholar.google.com.br/citations?hl=pt-PT&amp;view_op=list_hcore&amp;venue=Z7jeczV8wooJ.2024")</f>
        <v>https://scholar.google.com.br/citations?hl=pt-PT&amp;view_op=list_hcore&amp;venue=Z7jeczV8wooJ.2024</v>
      </c>
      <c r="F4" s="16"/>
      <c r="G4" s="30"/>
      <c r="H4" s="30"/>
      <c r="I4" s="200" t="str">
        <f>IFERROR(__xludf.DUMMYFUNCTION("""COMPUTED_VALUE"""),"https://dblp.org/db/conf/amcis/index.html")</f>
        <v>https://dblp.org/db/conf/amcis/index.html</v>
      </c>
      <c r="J4" s="201"/>
      <c r="K4" s="30"/>
    </row>
    <row r="5">
      <c r="A5" s="58" t="str">
        <f>IFERROR(__xludf.DUMMYFUNCTION("""COMPUTED_VALUE"""),"Top 10")</f>
        <v>Top 10</v>
      </c>
      <c r="B5" s="198" t="str">
        <f>IFERROR(__xludf.DUMMYFUNCTION("""COMPUTED_VALUE"""),"BPM")</f>
        <v>BPM</v>
      </c>
      <c r="C5" s="14" t="str">
        <f>IFERROR(__xludf.DUMMYFUNCTION("""COMPUTED_VALUE"""),"International Conference on Business Process Management")</f>
        <v>International Conference on Business Process Management</v>
      </c>
      <c r="D5" s="14">
        <f>IFERROR(__xludf.DUMMYFUNCTION("""COMPUTED_VALUE"""),27.0)</f>
        <v>27</v>
      </c>
      <c r="E5" s="199" t="str">
        <f>IFERROR(__xludf.DUMMYFUNCTION("""COMPUTED_VALUE"""),"https://scholar.google.com.br/citations?hl=pt-BR&amp;view_op=list_hcore&amp;venue=0N6unYCR7HoJ.2024")</f>
        <v>https://scholar.google.com.br/citations?hl=pt-BR&amp;view_op=list_hcore&amp;venue=0N6unYCR7HoJ.2024</v>
      </c>
      <c r="F5" s="16"/>
      <c r="G5" s="30"/>
      <c r="H5" s="30"/>
      <c r="I5" s="200" t="str">
        <f>IFERROR(__xludf.DUMMYFUNCTION("""COMPUTED_VALUE"""),"https://dblp.org/db/conf/bpm/index.html")</f>
        <v>https://dblp.org/db/conf/bpm/index.html</v>
      </c>
      <c r="J5" s="201"/>
      <c r="K5" s="30"/>
    </row>
    <row r="6">
      <c r="A6" s="58" t="str">
        <f>IFERROR(__xludf.DUMMYFUNCTION("""COMPUTED_VALUE"""),"Top 10")</f>
        <v>Top 10</v>
      </c>
      <c r="B6" s="198" t="str">
        <f>IFERROR(__xludf.DUMMYFUNCTION("""COMPUTED_VALUE"""),"CAiSE")</f>
        <v>CAiSE</v>
      </c>
      <c r="C6" s="14" t="str">
        <f>IFERROR(__xludf.DUMMYFUNCTION("""COMPUTED_VALUE"""),"International Conference on Advanced Information Systems Engineering")</f>
        <v>International Conference on Advanced Information Systems Engineering</v>
      </c>
      <c r="D6" s="14">
        <f>IFERROR(__xludf.DUMMYFUNCTION("""COMPUTED_VALUE"""),27.0)</f>
        <v>27</v>
      </c>
      <c r="E6" s="199" t="str">
        <f>IFERROR(__xludf.DUMMYFUNCTION("""COMPUTED_VALUE"""),"https://scholar.google.com.br/citations?hl=pt-PT&amp;view_op=list_hcore&amp;venue=5PSS5xHm_KwJ.2024")</f>
        <v>https://scholar.google.com.br/citations?hl=pt-PT&amp;view_op=list_hcore&amp;venue=5PSS5xHm_KwJ.2024</v>
      </c>
      <c r="F6" s="16"/>
      <c r="G6" s="30"/>
      <c r="H6" s="30"/>
      <c r="I6" s="200" t="str">
        <f>IFERROR(__xludf.DUMMYFUNCTION("""COMPUTED_VALUE"""),"https://dblp.org/db/conf/caise/index.html")</f>
        <v>https://dblp.org/db/conf/caise/index.html</v>
      </c>
      <c r="J6" s="201"/>
      <c r="K6" s="30"/>
    </row>
    <row r="7">
      <c r="A7" s="58" t="str">
        <f>IFERROR(__xludf.DUMMYFUNCTION("""COMPUTED_VALUE"""),"Top 10")</f>
        <v>Top 10</v>
      </c>
      <c r="B7" s="202" t="str">
        <f>IFERROR(__xludf.DUMMYFUNCTION("""COMPUTED_VALUE"""),"SoSE")</f>
        <v>SoSE</v>
      </c>
      <c r="C7" s="14" t="str">
        <f>IFERROR(__xludf.DUMMYFUNCTION("""COMPUTED_VALUE"""),"IEEE International Conference on Systems of Systems Engineering")</f>
        <v>IEEE International Conference on Systems of Systems Engineering</v>
      </c>
      <c r="D7" s="14">
        <f>IFERROR(__xludf.DUMMYFUNCTION("""COMPUTED_VALUE"""),18.0)</f>
        <v>18</v>
      </c>
      <c r="E7" s="199" t="str">
        <f>IFERROR(__xludf.DUMMYFUNCTION("""COMPUTED_VALUE"""),"https://scholar.google.com.br/citations?hl=pt-PT&amp;view_op=list_hcore&amp;venue=TThVqfDwD3QJ.2024")</f>
        <v>https://scholar.google.com.br/citations?hl=pt-PT&amp;view_op=list_hcore&amp;venue=TThVqfDwD3QJ.2024</v>
      </c>
      <c r="F7" s="16"/>
      <c r="G7" s="30"/>
      <c r="H7" s="30"/>
      <c r="I7" s="200" t="str">
        <f>IFERROR(__xludf.DUMMYFUNCTION("""COMPUTED_VALUE"""),"https://dblp.org/db/conf/sysose/index.html")</f>
        <v>https://dblp.org/db/conf/sysose/index.html</v>
      </c>
      <c r="J7" s="201"/>
      <c r="K7" s="30"/>
    </row>
    <row r="8">
      <c r="A8" s="58" t="str">
        <f>IFERROR(__xludf.DUMMYFUNCTION("""COMPUTED_VALUE"""),"Top 10")</f>
        <v>Top 10</v>
      </c>
      <c r="B8" s="198" t="str">
        <f>IFERROR(__xludf.DUMMYFUNCTION("""COMPUTED_VALUE"""),"EGOV")</f>
        <v>EGOV</v>
      </c>
      <c r="C8" s="14" t="str">
        <f>IFERROR(__xludf.DUMMYFUNCTION("""COMPUTED_VALUE"""),"International Conference on Electronic Government")</f>
        <v>International Conference on Electronic Government</v>
      </c>
      <c r="D8" s="14">
        <f>IFERROR(__xludf.DUMMYFUNCTION("""COMPUTED_VALUE"""),16.0)</f>
        <v>16</v>
      </c>
      <c r="E8" s="199" t="str">
        <f>IFERROR(__xludf.DUMMYFUNCTION("""COMPUTED_VALUE"""),"https://scholar.google.com.br/citations?hl=pt-BR&amp;view_op=list_hcore&amp;venue=UF-KqO2gwjoJ.2024")</f>
        <v>https://scholar.google.com.br/citations?hl=pt-BR&amp;view_op=list_hcore&amp;venue=UF-KqO2gwjoJ.2024</v>
      </c>
      <c r="F8" s="16"/>
      <c r="G8" s="30"/>
      <c r="H8" s="30" t="str">
        <f>IFERROR(__xludf.DUMMYFUNCTION("""COMPUTED_VALUE"""),"IFIP WG 8.5 International Conference on Electronic Government")</f>
        <v>IFIP WG 8.5 International Conference on Electronic Government</v>
      </c>
      <c r="I8" s="200" t="str">
        <f>IFERROR(__xludf.DUMMYFUNCTION("""COMPUTED_VALUE"""),"https://dblp.org/db/conf/egov/index.html")</f>
        <v>https://dblp.org/db/conf/egov/index.html</v>
      </c>
      <c r="J8" s="201"/>
      <c r="K8" s="30"/>
    </row>
    <row r="9">
      <c r="A9" s="58" t="str">
        <f>IFERROR(__xludf.DUMMYFUNCTION("""COMPUTED_VALUE"""),"Top 10")</f>
        <v>Top 10</v>
      </c>
      <c r="B9" s="198" t="str">
        <f>IFERROR(__xludf.DUMMYFUNCTION("""COMPUTED_VALUE"""),"SBSI")</f>
        <v>SBSI</v>
      </c>
      <c r="C9" s="14" t="str">
        <f>IFERROR(__xludf.DUMMYFUNCTION("""COMPUTED_VALUE"""),"Simpósio Brasileiro de Sistemas de Informação")</f>
        <v>Simpósio Brasileiro de Sistemas de Informação</v>
      </c>
      <c r="D9" s="14">
        <f>IFERROR(__xludf.DUMMYFUNCTION("""COMPUTED_VALUE"""),11.0)</f>
        <v>11</v>
      </c>
      <c r="E9" s="199" t="str">
        <f>IFERROR(__xludf.DUMMYFUNCTION("""COMPUTED_VALUE"""),"https://scholar.google.com.br/citations?hl=pt-BR&amp;view_op=list_hcore&amp;venue=Uj60OIiJKkQJ.2024")</f>
        <v>https://scholar.google.com.br/citations?hl=pt-BR&amp;view_op=list_hcore&amp;venue=Uj60OIiJKkQJ.2024</v>
      </c>
      <c r="F9" s="16"/>
      <c r="G9" s="30"/>
      <c r="H9" s="30" t="str">
        <f>IFERROR(__xludf.DUMMYFUNCTION("""COMPUTED_VALUE"""),"Brazilian Symposium on Information Systems (SBSI)")</f>
        <v>Brazilian Symposium on Information Systems (SBSI)</v>
      </c>
      <c r="I9" s="200" t="str">
        <f>IFERROR(__xludf.DUMMYFUNCTION("""COMPUTED_VALUE"""),"https://dblp.org/db/conf/sbsi/index.html")</f>
        <v>https://dblp.org/db/conf/sbsi/index.html</v>
      </c>
      <c r="J9" s="201" t="str">
        <f>IFERROR(__xludf.DUMMYFUNCTION("""COMPUTED_VALUE"""),"https://sol.sbc.org.br/index.php/sbsi/issue/archive")</f>
        <v>https://sol.sbc.org.br/index.php/sbsi/issue/archive</v>
      </c>
      <c r="K9" s="30"/>
    </row>
    <row r="10">
      <c r="A10" s="58" t="str">
        <f>IFERROR(__xludf.DUMMYFUNCTION("""COMPUTED_VALUE"""),"Top 10")</f>
        <v>Top 10</v>
      </c>
      <c r="B10" s="198" t="str">
        <f>IFERROR(__xludf.DUMMYFUNCTION("""COMPUTED_VALUE"""),"BraSNAM")</f>
        <v>BraSNAM</v>
      </c>
      <c r="C10" s="14" t="str">
        <f>IFERROR(__xludf.DUMMYFUNCTION("""COMPUTED_VALUE"""),"Brazilian Workshop on Social Network Analysis and Mining")</f>
        <v>Brazilian Workshop on Social Network Analysis and Mining</v>
      </c>
      <c r="D10" s="14">
        <f>IFERROR(__xludf.DUMMYFUNCTION("""COMPUTED_VALUE"""),8.0)</f>
        <v>8</v>
      </c>
      <c r="E10" s="199" t="str">
        <f>IFERROR(__xludf.DUMMYFUNCTION("""COMPUTED_VALUE"""),"https://scholar.google.com.br/citations?hl=pt-PT&amp;view_op=list_hcore&amp;venue=uCHdYLLURp0J.2024")</f>
        <v>https://scholar.google.com.br/citations?hl=pt-PT&amp;view_op=list_hcore&amp;venue=uCHdYLLURp0J.2024</v>
      </c>
      <c r="F10" s="16"/>
      <c r="G10" s="30"/>
      <c r="H10" s="30" t="str">
        <f>IFERROR(__xludf.DUMMYFUNCTION("""COMPUTED_VALUE"""),"Workshop Brasileiro de Análise de Redes Sociais e Mineração (BraSNAM)")</f>
        <v>Workshop Brasileiro de Análise de Redes Sociais e Mineração (BraSNAM)</v>
      </c>
      <c r="I10" s="26"/>
      <c r="J10" s="201" t="str">
        <f>IFERROR(__xludf.DUMMYFUNCTION("""COMPUTED_VALUE"""),"https://sol.sbc.org.br/index.php/brasnam")</f>
        <v>https://sol.sbc.org.br/index.php/brasnam</v>
      </c>
      <c r="K10" s="30"/>
    </row>
    <row r="11">
      <c r="A11" s="58" t="str">
        <f>IFERROR(__xludf.DUMMYFUNCTION("""COMPUTED_VALUE"""),"Top 10")</f>
        <v>Top 10</v>
      </c>
      <c r="B11" s="198" t="str">
        <f>IFERROR(__xludf.DUMMYFUNCTION("""COMPUTED_VALUE"""),"WASHES")</f>
        <v>WASHES</v>
      </c>
      <c r="C11" s="14" t="str">
        <f>IFERROR(__xludf.DUMMYFUNCTION("""COMPUTED_VALUE"""),"Workshop sobre Aspectos Sociais, Humanos e Econômicos de Software")</f>
        <v>Workshop sobre Aspectos Sociais, Humanos e Econômicos de Software</v>
      </c>
      <c r="D11" s="14">
        <f>IFERROR(__xludf.DUMMYFUNCTION("""COMPUTED_VALUE"""),6.0)</f>
        <v>6</v>
      </c>
      <c r="E11" s="199" t="str">
        <f>IFERROR(__xludf.DUMMYFUNCTION("""COMPUTED_VALUE"""),"https://scholar.google.com/scholar?q=Workshop+sobre+Aspectos+Sociais%2C+Humanos+e+Econ%C3%B4micos+de+Software&amp;hl=pt-BR&amp;as_sdt=0%2C5&amp;as_ylo=2020&amp;as_yhi=2024")</f>
        <v>https://scholar.google.com/scholar?q=Workshop+sobre+Aspectos+Sociais%2C+Humanos+e+Econ%C3%B4micos+de+Software&amp;hl=pt-BR&amp;as_sdt=0%2C5&amp;as_ylo=2020&amp;as_yhi=2024</v>
      </c>
      <c r="F11" s="16"/>
      <c r="G11" s="30"/>
      <c r="H11" s="30"/>
      <c r="I11" s="26"/>
      <c r="J11" s="201" t="str">
        <f>IFERROR(__xludf.DUMMYFUNCTION("""COMPUTED_VALUE"""),"https://sol.sbc.org.br/index.php/washes/issue/archive")</f>
        <v>https://sol.sbc.org.br/index.php/washes/issue/archive</v>
      </c>
      <c r="K11" s="30"/>
    </row>
    <row r="12">
      <c r="A12" s="65" t="str">
        <f>IFERROR(__xludf.DUMMYFUNCTION("""COMPUTED_VALUE"""),"Top 20")</f>
        <v>Top 20</v>
      </c>
      <c r="B12" s="202" t="str">
        <f>IFERROR(__xludf.DUMMYFUNCTION("""COMPUTED_VALUE"""),"SMC")</f>
        <v>SMC</v>
      </c>
      <c r="C12" s="14" t="str">
        <f>IFERROR(__xludf.DUMMYFUNCTION("""COMPUTED_VALUE"""),"IEEE International Conference on Systems, Man and Cybernetics")</f>
        <v>IEEE International Conference on Systems, Man and Cybernetics</v>
      </c>
      <c r="D12" s="14">
        <f>IFERROR(__xludf.DUMMYFUNCTION("""COMPUTED_VALUE"""),32.0)</f>
        <v>32</v>
      </c>
      <c r="E12" s="199" t="str">
        <f>IFERROR(__xludf.DUMMYFUNCTION("""COMPUTED_VALUE"""),"https://scholar.google.com.br/citations?hl=pt-PT&amp;view_op=list_hcore&amp;venue=qJlcVei6YeoJ.2024")</f>
        <v>https://scholar.google.com.br/citations?hl=pt-PT&amp;view_op=list_hcore&amp;venue=qJlcVei6YeoJ.2024</v>
      </c>
      <c r="F12" s="16"/>
      <c r="G12" s="30"/>
      <c r="H12" s="30" t="str">
        <f>IFERROR(__xludf.DUMMYFUNCTION("""COMPUTED_VALUE"""),"IEEE International Conference on Systems, Man, and Cybernetics")</f>
        <v>IEEE International Conference on Systems, Man, and Cybernetics</v>
      </c>
      <c r="I12" s="200" t="str">
        <f>IFERROR(__xludf.DUMMYFUNCTION("""COMPUTED_VALUE"""),"https://dblp.org/db/conf/smc/index.html")</f>
        <v>https://dblp.org/db/conf/smc/index.html</v>
      </c>
      <c r="J12" s="201"/>
      <c r="K12" s="30"/>
    </row>
    <row r="13">
      <c r="A13" s="65" t="str">
        <f>IFERROR(__xludf.DUMMYFUNCTION("""COMPUTED_VALUE"""),"Top 20")</f>
        <v>Top 20</v>
      </c>
      <c r="B13" s="198" t="str">
        <f>IFERROR(__xludf.DUMMYFUNCTION("""COMPUTED_VALUE"""),"DG.O")</f>
        <v>DG.O</v>
      </c>
      <c r="C13" s="14" t="str">
        <f>IFERROR(__xludf.DUMMYFUNCTION("""COMPUTED_VALUE"""),"Annual International Conference on Digital Government Research")</f>
        <v>Annual International Conference on Digital Government Research</v>
      </c>
      <c r="D13" s="14">
        <f>IFERROR(__xludf.DUMMYFUNCTION("""COMPUTED_VALUE"""),27.0)</f>
        <v>27</v>
      </c>
      <c r="E13" s="199" t="str">
        <f>IFERROR(__xludf.DUMMYFUNCTION("""COMPUTED_VALUE"""),"https://scholar.google.com.br/citations?hl=pt-PT&amp;view_op=list_hcore&amp;venue=109OuuD55eYJ.2024")</f>
        <v>https://scholar.google.com.br/citations?hl=pt-PT&amp;view_op=list_hcore&amp;venue=109OuuD55eYJ.2024</v>
      </c>
      <c r="F13" s="16"/>
      <c r="G13" s="30"/>
      <c r="H13" s="30"/>
      <c r="I13" s="200" t="str">
        <f>IFERROR(__xludf.DUMMYFUNCTION("""COMPUTED_VALUE"""),"https://dblp.org/db/conf/dgo/index.html")</f>
        <v>https://dblp.org/db/conf/dgo/index.html</v>
      </c>
      <c r="J13" s="201"/>
      <c r="K13" s="30"/>
    </row>
    <row r="14">
      <c r="A14" s="65" t="str">
        <f>IFERROR(__xludf.DUMMYFUNCTION("""COMPUTED_VALUE"""),"Top 20")</f>
        <v>Top 20</v>
      </c>
      <c r="B14" s="198" t="str">
        <f>IFERROR(__xludf.DUMMYFUNCTION("""COMPUTED_VALUE"""),"CBI")</f>
        <v>CBI</v>
      </c>
      <c r="C14" s="14" t="str">
        <f>IFERROR(__xludf.DUMMYFUNCTION("""COMPUTED_VALUE"""),"IEEE Conference on Business Informatics")</f>
        <v>IEEE Conference on Business Informatics</v>
      </c>
      <c r="D14" s="14">
        <f>IFERROR(__xludf.DUMMYFUNCTION("""COMPUTED_VALUE"""),21.0)</f>
        <v>21</v>
      </c>
      <c r="E14" s="199" t="str">
        <f>IFERROR(__xludf.DUMMYFUNCTION("""COMPUTED_VALUE"""),"https://scholar.google.com.br/citations?hl=pt-PT&amp;view_op=list_hcore&amp;venue=EBKFsSXXhfYJ.2024")</f>
        <v>https://scholar.google.com.br/citations?hl=pt-PT&amp;view_op=list_hcore&amp;venue=EBKFsSXXhfYJ.2024</v>
      </c>
      <c r="F14" s="16"/>
      <c r="G14" s="30"/>
      <c r="H14" s="30"/>
      <c r="I14" s="200" t="str">
        <f>IFERROR(__xludf.DUMMYFUNCTION("""COMPUTED_VALUE"""),"https://dblp.org/db/conf/cbi/index.html")</f>
        <v>https://dblp.org/db/conf/cbi/index.html</v>
      </c>
      <c r="J14" s="201"/>
      <c r="K14" s="30"/>
    </row>
    <row r="15">
      <c r="A15" s="65" t="str">
        <f>IFERROR(__xludf.DUMMYFUNCTION("""COMPUTED_VALUE"""),"Top 20")</f>
        <v>Top 20</v>
      </c>
      <c r="B15" s="198" t="str">
        <f>IFERROR(__xludf.DUMMYFUNCTION("""COMPUTED_VALUE"""),"ICEIS")</f>
        <v>ICEIS</v>
      </c>
      <c r="C15" s="14" t="str">
        <f>IFERROR(__xludf.DUMMYFUNCTION("""COMPUTED_VALUE"""),"International Conference on Enterprise Information Systems")</f>
        <v>International Conference on Enterprise Information Systems</v>
      </c>
      <c r="D15" s="14">
        <f>IFERROR(__xludf.DUMMYFUNCTION("""COMPUTED_VALUE"""),20.0)</f>
        <v>20</v>
      </c>
      <c r="E15" s="199" t="str">
        <f>IFERROR(__xludf.DUMMYFUNCTION("""COMPUTED_VALUE"""),"https://scholar.google.com.br/citations?hl=pt-PT&amp;view_op=list_hcore&amp;venue=zsGWp1QJr3AJ.2024")</f>
        <v>https://scholar.google.com.br/citations?hl=pt-PT&amp;view_op=list_hcore&amp;venue=zsGWp1QJr3AJ.2024</v>
      </c>
      <c r="F15" s="16"/>
      <c r="G15" s="30"/>
      <c r="H15" s="30"/>
      <c r="I15" s="200" t="str">
        <f>IFERROR(__xludf.DUMMYFUNCTION("""COMPUTED_VALUE"""),"https://dblp.org/db/conf/iceis/index.html")</f>
        <v>https://dblp.org/db/conf/iceis/index.html</v>
      </c>
      <c r="J15" s="201"/>
      <c r="K15" s="30"/>
    </row>
    <row r="16">
      <c r="A16" s="65" t="str">
        <f>IFERROR(__xludf.DUMMYFUNCTION("""COMPUTED_VALUE"""),"Top 20")</f>
        <v>Top 20</v>
      </c>
      <c r="B16" s="198" t="str">
        <f>IFERROR(__xludf.DUMMYFUNCTION("""COMPUTED_VALUE"""),"WISE")</f>
        <v>WISE</v>
      </c>
      <c r="C16" s="14" t="str">
        <f>IFERROR(__xludf.DUMMYFUNCTION("""COMPUTED_VALUE"""),"International Conference on Web Information Systems Engineering")</f>
        <v>International Conference on Web Information Systems Engineering</v>
      </c>
      <c r="D16" s="14">
        <f>IFERROR(__xludf.DUMMYFUNCTION("""COMPUTED_VALUE"""),17.0)</f>
        <v>17</v>
      </c>
      <c r="E16" s="199" t="str">
        <f>IFERROR(__xludf.DUMMYFUNCTION("""COMPUTED_VALUE"""),"https://scholar.google.com.br/citations?hl=pt-PT&amp;view_op=list_hcore&amp;venue=K9DmX5xQU-YJ.2024")</f>
        <v>https://scholar.google.com.br/citations?hl=pt-PT&amp;view_op=list_hcore&amp;venue=K9DmX5xQU-YJ.2024</v>
      </c>
      <c r="F16" s="16"/>
      <c r="G16" s="30"/>
      <c r="H16" s="30"/>
      <c r="I16" s="200" t="str">
        <f>IFERROR(__xludf.DUMMYFUNCTION("""COMPUTED_VALUE"""),"https://dblp.org/db/conf/wise/index.html")</f>
        <v>https://dblp.org/db/conf/wise/index.html</v>
      </c>
      <c r="J16" s="201"/>
      <c r="K16" s="30"/>
    </row>
    <row r="17">
      <c r="A17" s="65" t="str">
        <f>IFERROR(__xludf.DUMMYFUNCTION("""COMPUTED_VALUE"""),"Top 20")</f>
        <v>Top 20</v>
      </c>
      <c r="B17" s="198" t="str">
        <f>IFERROR(__xludf.DUMMYFUNCTION("""COMPUTED_VALUE"""),"IIWAS")</f>
        <v>IIWAS</v>
      </c>
      <c r="C17" s="14" t="str">
        <f>IFERROR(__xludf.DUMMYFUNCTION("""COMPUTED_VALUE"""),"International Conference on Information Integration and Web-based Applications &amp; Services")</f>
        <v>International Conference on Information Integration and Web-based Applications &amp; Services</v>
      </c>
      <c r="D17" s="14">
        <f>IFERROR(__xludf.DUMMYFUNCTION("""COMPUTED_VALUE"""),15.0)</f>
        <v>15</v>
      </c>
      <c r="E17" s="199" t="str">
        <f>IFERROR(__xludf.DUMMYFUNCTION("""COMPUTED_VALUE"""),"https://scholar.google.com.br/citations?hl=pt-PT&amp;view_op=list_hcore&amp;venue=Tq_VLYZkpzwJ.2024 ")</f>
        <v>https://scholar.google.com.br/citations?hl=pt-PT&amp;view_op=list_hcore&amp;venue=Tq_VLYZkpzwJ.2024 </v>
      </c>
      <c r="F17" s="16"/>
      <c r="G17" s="30"/>
      <c r="H17" s="30" t="str">
        <f>IFERROR(__xludf.DUMMYFUNCTION("""COMPUTED_VALUE"""),"International Conference on Information Integration and Web Intelligence")</f>
        <v>International Conference on Information Integration and Web Intelligence</v>
      </c>
      <c r="I17" s="200" t="str">
        <f>IFERROR(__xludf.DUMMYFUNCTION("""COMPUTED_VALUE"""),"https://dblp.org/db/conf/iiwas/index.html")</f>
        <v>https://dblp.org/db/conf/iiwas/index.html</v>
      </c>
      <c r="J17" s="201"/>
      <c r="K17" s="30"/>
    </row>
    <row r="18">
      <c r="A18" s="65" t="str">
        <f>IFERROR(__xludf.DUMMYFUNCTION("""COMPUTED_VALUE"""),"Top 20")</f>
        <v>Top 20</v>
      </c>
      <c r="B18" s="202" t="str">
        <f>IFERROR(__xludf.DUMMYFUNCTION("""COMPUTED_VALUE"""),"ADBIS")</f>
        <v>ADBIS</v>
      </c>
      <c r="C18" s="14" t="str">
        <f>IFERROR(__xludf.DUMMYFUNCTION("""COMPUTED_VALUE"""),"European Conference on Advances in Databases and Information Systems")</f>
        <v>European Conference on Advances in Databases and Information Systems</v>
      </c>
      <c r="D18" s="14">
        <f>IFERROR(__xludf.DUMMYFUNCTION("""COMPUTED_VALUE"""),13.0)</f>
        <v>13</v>
      </c>
      <c r="E18" s="199" t="str">
        <f>IFERROR(__xludf.DUMMYFUNCTION("""COMPUTED_VALUE"""),"https://scholar.google.com.br/citations?hl=pt-BR&amp;view_op=list_hcore&amp;venue=pEYfHFCSslcJ.2024")</f>
        <v>https://scholar.google.com.br/citations?hl=pt-BR&amp;view_op=list_hcore&amp;venue=pEYfHFCSslcJ.2024</v>
      </c>
      <c r="F18" s="16"/>
      <c r="G18" s="30"/>
      <c r="H18" s="30"/>
      <c r="I18" s="200" t="str">
        <f>IFERROR(__xludf.DUMMYFUNCTION("""COMPUTED_VALUE"""),"https://dblp.org/db/conf/adbis/index.html")</f>
        <v>https://dblp.org/db/conf/adbis/index.html</v>
      </c>
      <c r="J18" s="201"/>
      <c r="K18" s="30"/>
    </row>
    <row r="19">
      <c r="A19" s="65" t="str">
        <f>IFERROR(__xludf.DUMMYFUNCTION("""COMPUTED_VALUE"""),"Top 20")</f>
        <v>Top 20</v>
      </c>
      <c r="B19" s="198" t="str">
        <f>IFERROR(__xludf.DUMMYFUNCTION("""COMPUTED_VALUE"""),"WEBIST")</f>
        <v>WEBIST</v>
      </c>
      <c r="C19" s="14" t="str">
        <f>IFERROR(__xludf.DUMMYFUNCTION("""COMPUTED_VALUE"""),"International Conference on Web Information Systems and Technologies")</f>
        <v>International Conference on Web Information Systems and Technologies</v>
      </c>
      <c r="D19" s="14">
        <f>IFERROR(__xludf.DUMMYFUNCTION("""COMPUTED_VALUE"""),12.0)</f>
        <v>12</v>
      </c>
      <c r="E19" s="199" t="str">
        <f>IFERROR(__xludf.DUMMYFUNCTION("""COMPUTED_VALUE"""),"https://scholar.google.com.br/citations?hl=pt-PT&amp;view_op=list_hcore&amp;venue=0oQi0-PzQ8sJ.2024")</f>
        <v>https://scholar.google.com.br/citations?hl=pt-PT&amp;view_op=list_hcore&amp;venue=0oQi0-PzQ8sJ.2024</v>
      </c>
      <c r="F19" s="16"/>
      <c r="G19" s="30"/>
      <c r="H19" s="30"/>
      <c r="I19" s="200" t="str">
        <f>IFERROR(__xludf.DUMMYFUNCTION("""COMPUTED_VALUE"""),"https://dblp.org/db/conf/webist/index.html")</f>
        <v>https://dblp.org/db/conf/webist/index.html</v>
      </c>
      <c r="J19" s="201"/>
      <c r="K19" s="30"/>
    </row>
    <row r="20">
      <c r="A20" s="65" t="str">
        <f>IFERROR(__xludf.DUMMYFUNCTION("""COMPUTED_VALUE"""),"Top 20")</f>
        <v>Top 20</v>
      </c>
      <c r="B20" s="198" t="str">
        <f>IFERROR(__xludf.DUMMYFUNCTION("""COMPUTED_VALUE"""),"ITNG")</f>
        <v>ITNG</v>
      </c>
      <c r="C20" s="14" t="str">
        <f>IFERROR(__xludf.DUMMYFUNCTION("""COMPUTED_VALUE"""),"International Conference on Information Technology - New Generations")</f>
        <v>International Conference on Information Technology - New Generations</v>
      </c>
      <c r="D20" s="14">
        <f>IFERROR(__xludf.DUMMYFUNCTION("""COMPUTED_VALUE"""),12.0)</f>
        <v>12</v>
      </c>
      <c r="E20" s="199" t="str">
        <f>IFERROR(__xludf.DUMMYFUNCTION("""COMPUTED_VALUE"""),"https://scholar.google.com.br/citations?hl=pt-PT&amp;view_op=list_hcore&amp;venue=n4KqZc83JT0J.2024")</f>
        <v>https://scholar.google.com.br/citations?hl=pt-PT&amp;view_op=list_hcore&amp;venue=n4KqZc83JT0J.2024</v>
      </c>
      <c r="F20" s="16"/>
      <c r="G20" s="30"/>
      <c r="H20" s="30"/>
      <c r="I20" s="200" t="str">
        <f>IFERROR(__xludf.DUMMYFUNCTION("""COMPUTED_VALUE"""),"https://dblp.org/db/conf/itng/index.html")</f>
        <v>https://dblp.org/db/conf/itng/index.html</v>
      </c>
      <c r="J20" s="201"/>
      <c r="K20" s="30"/>
    </row>
    <row r="21">
      <c r="A21" s="65" t="str">
        <f>IFERROR(__xludf.DUMMYFUNCTION("""COMPUTED_VALUE"""),"Top 20")</f>
        <v>Top 20</v>
      </c>
      <c r="B21" s="198" t="str">
        <f>IFERROR(__xludf.DUMMYFUNCTION("""COMPUTED_VALUE"""),"EATIS")</f>
        <v>EATIS</v>
      </c>
      <c r="C21" s="14" t="str">
        <f>IFERROR(__xludf.DUMMYFUNCTION("""COMPUTED_VALUE"""),"Euro American Conference on Telematics and Information Systems")</f>
        <v>Euro American Conference on Telematics and Information Systems</v>
      </c>
      <c r="D21" s="14">
        <f>IFERROR(__xludf.DUMMYFUNCTION("""COMPUTED_VALUE"""),6.0)</f>
        <v>6</v>
      </c>
      <c r="E21" s="199" t="str">
        <f>IFERROR(__xludf.DUMMYFUNCTION("""COMPUTED_VALUE"""),"https://scholar.google.com.br/citations?hl=pt-PT&amp;view_op=list_hcore&amp;venue=as1viggupKQJ.2024")</f>
        <v>https://scholar.google.com.br/citations?hl=pt-PT&amp;view_op=list_hcore&amp;venue=as1viggupKQJ.2024</v>
      </c>
      <c r="F21" s="16"/>
      <c r="G21" s="30"/>
      <c r="H21" s="30"/>
      <c r="I21" s="200" t="str">
        <f>IFERROR(__xludf.DUMMYFUNCTION("""COMPUTED_VALUE"""),"https://dblp.org/db/conf/eatis/index.html")</f>
        <v>https://dblp.org/db/conf/eatis/index.html</v>
      </c>
      <c r="J21" s="201"/>
      <c r="K21" s="30"/>
    </row>
    <row r="22">
      <c r="A22" s="68" t="str">
        <f>IFERROR(__xludf.DUMMYFUNCTION("""COMPUTED_VALUE"""),"Top 20")</f>
        <v>Top 20</v>
      </c>
      <c r="B22" s="198" t="str">
        <f>IFERROR(__xludf.DUMMYFUNCTION("""COMPUTED_VALUE"""),"AE-SBSI")</f>
        <v>AE-SBSI</v>
      </c>
      <c r="C22" s="14" t="str">
        <f>IFERROR(__xludf.DUMMYFUNCTION("""COMPUTED_VALUE"""),"Anais Estendidos do Simpósio Brasileiro de Sistemas de Informação")</f>
        <v>Anais Estendidos do Simpósio Brasileiro de Sistemas de Informação</v>
      </c>
      <c r="D22" s="14">
        <f>IFERROR(__xludf.DUMMYFUNCTION("""COMPUTED_VALUE"""),5.0)</f>
        <v>5</v>
      </c>
      <c r="E22" s="199" t="str">
        <f>IFERROR(__xludf.DUMMYFUNCTION("""COMPUTED_VALUE"""),"https://scholar.google.com/scholar?q=source%3AAnais+source%3AEstendidos+source%3Ado+source%3ASimp%C3%B3sio+source%3ABrasileiro+source%3Ade+source%3ASistemas+source%3Ade+source%3AInforma%C3%A7%C3%A3o+&amp;hl=pt-BR&amp;as_sdt=0%2C5&amp;as_ylo=2020&amp;as_yhi=2024")</f>
        <v>https://scholar.google.com/scholar?q=source%3AAnais+source%3AEstendidos+source%3Ado+source%3ASimp%C3%B3sio+source%3ABrasileiro+source%3Ade+source%3ASistemas+source%3Ade+source%3AInforma%C3%A7%C3%A3o+&amp;hl=pt-BR&amp;as_sdt=0%2C5&amp;as_ylo=2020&amp;as_yhi=2024</v>
      </c>
      <c r="F22" s="16"/>
      <c r="G22" s="30"/>
      <c r="H22" s="30"/>
      <c r="I22" s="26"/>
      <c r="J22" s="201" t="str">
        <f>IFERROR(__xludf.DUMMYFUNCTION("""COMPUTED_VALUE"""),"https://sol.sbc.org.br/index.php/sbsi_estendido/issue/archive")</f>
        <v>https://sol.sbc.org.br/index.php/sbsi_estendido/issue/archive</v>
      </c>
      <c r="K22" s="30"/>
    </row>
    <row r="23">
      <c r="A23" s="68" t="str">
        <f>IFERROR(__xludf.DUMMYFUNCTION("""COMPUTED_VALUE"""),"Eventos da Área")</f>
        <v>Eventos da Área</v>
      </c>
      <c r="B23" s="198" t="str">
        <f>IFERROR(__xludf.DUMMYFUNCTION("""COMPUTED_VALUE"""),"WSDM")</f>
        <v>WSDM</v>
      </c>
      <c r="C23" s="14" t="str">
        <f>IFERROR(__xludf.DUMMYFUNCTION("""COMPUTED_VALUE"""),"ACM Conference International Conference on Web Search and Data Mining")</f>
        <v>ACM Conference International Conference on Web Search and Data Mining</v>
      </c>
      <c r="D23" s="14">
        <f>IFERROR(__xludf.DUMMYFUNCTION("""COMPUTED_VALUE"""),75.0)</f>
        <v>75</v>
      </c>
      <c r="E23" s="199" t="str">
        <f>IFERROR(__xludf.DUMMYFUNCTION("""COMPUTED_VALUE"""),"https://scholar.google.com.br/citations?hl=pt-PT&amp;view_op=list_hcore&amp;venue=6AbX1YWluE4J.2024")</f>
        <v>https://scholar.google.com.br/citations?hl=pt-PT&amp;view_op=list_hcore&amp;venue=6AbX1YWluE4J.2024</v>
      </c>
      <c r="F23" s="16"/>
      <c r="G23" s="30"/>
      <c r="H23" s="30"/>
      <c r="I23" s="200" t="str">
        <f>IFERROR(__xludf.DUMMYFUNCTION("""COMPUTED_VALUE"""),"https://dblp.org/db/conf/wsdm/index.html")</f>
        <v>https://dblp.org/db/conf/wsdm/index.html</v>
      </c>
      <c r="J23" s="201"/>
      <c r="K23" s="30"/>
    </row>
    <row r="24">
      <c r="A24" s="68" t="str">
        <f>IFERROR(__xludf.DUMMYFUNCTION("""COMPUTED_VALUE"""),"Eventos da Área")</f>
        <v>Eventos da Área</v>
      </c>
      <c r="B24" s="198" t="str">
        <f>IFERROR(__xludf.DUMMYFUNCTION("""COMPUTED_VALUE"""),"CSCW")</f>
        <v>CSCW</v>
      </c>
      <c r="C24" s="14" t="str">
        <f>IFERROR(__xludf.DUMMYFUNCTION("""COMPUTED_VALUE"""),"ACM Conference on Computer Supported Cooperative Work &amp; Social Computing")</f>
        <v>ACM Conference on Computer Supported Cooperative Work &amp; Social Computing</v>
      </c>
      <c r="D24" s="14">
        <f>IFERROR(__xludf.DUMMYFUNCTION("""COMPUTED_VALUE"""),23.0)</f>
        <v>23</v>
      </c>
      <c r="E24" s="199" t="str">
        <f>IFERROR(__xludf.DUMMYFUNCTION("""COMPUTED_VALUE"""),"https://scholar.google.com.br/citations?hl=pt-PT&amp;view_op=list_hcore&amp;venue=kXowlNFROIgJ.2024")</f>
        <v>https://scholar.google.com.br/citations?hl=pt-PT&amp;view_op=list_hcore&amp;venue=kXowlNFROIgJ.2024</v>
      </c>
      <c r="F24" s="16"/>
      <c r="G24" s="30"/>
      <c r="H24" s="30"/>
      <c r="I24" s="200" t="str">
        <f>IFERROR(__xludf.DUMMYFUNCTION("""COMPUTED_VALUE"""),"https://dblp.org/db/conf/cscw/index.html")</f>
        <v>https://dblp.org/db/conf/cscw/index.html</v>
      </c>
      <c r="J24" s="201"/>
      <c r="K24" s="30"/>
    </row>
    <row r="25">
      <c r="A25" s="68" t="str">
        <f>IFERROR(__xludf.DUMMYFUNCTION("""COMPUTED_VALUE"""),"Eventos da Área")</f>
        <v>Eventos da Área</v>
      </c>
      <c r="B25" s="203" t="str">
        <f>IFERROR(__xludf.DUMMYFUNCTION("""COMPUTED_VALUE"""),"HT")</f>
        <v>HT</v>
      </c>
      <c r="C25" s="14" t="str">
        <f>IFERROR(__xludf.DUMMYFUNCTION("""COMPUTED_VALUE"""),"ACM Conference on Hypertext and Hypermedia")</f>
        <v>ACM Conference on Hypertext and Hypermedia</v>
      </c>
      <c r="D25" s="14">
        <f>IFERROR(__xludf.DUMMYFUNCTION("""COMPUTED_VALUE"""),20.0)</f>
        <v>20</v>
      </c>
      <c r="E25" s="199" t="str">
        <f>IFERROR(__xludf.DUMMYFUNCTION("""COMPUTED_VALUE"""),"https://scholar.google.com.br/citations?hl=pt-PT&amp;view_op=list_hcore&amp;venue=U4LFuNlM8GMJ.2024")</f>
        <v>https://scholar.google.com.br/citations?hl=pt-PT&amp;view_op=list_hcore&amp;venue=U4LFuNlM8GMJ.2024</v>
      </c>
      <c r="F25" s="16"/>
      <c r="G25" s="30" t="str">
        <f>IFERROR(__xludf.DUMMYFUNCTION("""COMPUTED_VALUE"""),"ACM Conference on Hypertext and Social Media")</f>
        <v>ACM Conference on Hypertext and Social Media</v>
      </c>
      <c r="H25" s="30"/>
      <c r="I25" s="200" t="str">
        <f>IFERROR(__xludf.DUMMYFUNCTION("""COMPUTED_VALUE"""),"https://dblp.org/db/conf/ht/index.html")</f>
        <v>https://dblp.org/db/conf/ht/index.html</v>
      </c>
      <c r="J25" s="201"/>
      <c r="K25" s="30"/>
    </row>
    <row r="26">
      <c r="A26" s="68" t="str">
        <f>IFERROR(__xludf.DUMMYFUNCTION("""COMPUTED_VALUE"""),"Eventos da Área")</f>
        <v>Eventos da Área</v>
      </c>
      <c r="B26" s="120" t="str">
        <f>IFERROR(__xludf.DUMMYFUNCTION("""COMPUTED_VALUE"""),"RECSYS")</f>
        <v>RECSYS</v>
      </c>
      <c r="C26" s="14" t="str">
        <f>IFERROR(__xludf.DUMMYFUNCTION("""COMPUTED_VALUE"""),"ACM Conference on Recommender Systems")</f>
        <v>ACM Conference on Recommender Systems</v>
      </c>
      <c r="D26" s="14">
        <f>IFERROR(__xludf.DUMMYFUNCTION("""COMPUTED_VALUE"""),49.0)</f>
        <v>49</v>
      </c>
      <c r="E26" s="199" t="str">
        <f>IFERROR(__xludf.DUMMYFUNCTION("""COMPUTED_VALUE"""),"https://scholar.google.com.br/citations?hl=pt-PT&amp;view_op=list_hcore&amp;venue=4-w_STT7RmEJ.2024")</f>
        <v>https://scholar.google.com.br/citations?hl=pt-PT&amp;view_op=list_hcore&amp;venue=4-w_STT7RmEJ.2024</v>
      </c>
      <c r="F26" s="16"/>
      <c r="G26" s="30"/>
      <c r="H26" s="30"/>
      <c r="I26" s="200" t="str">
        <f>IFERROR(__xludf.DUMMYFUNCTION("""COMPUTED_VALUE"""),"https://dblp.org/db/conf/recsys/index.html")</f>
        <v>https://dblp.org/db/conf/recsys/index.html</v>
      </c>
      <c r="J26" s="201"/>
      <c r="K26" s="30"/>
    </row>
    <row r="27">
      <c r="A27" s="68" t="str">
        <f>IFERROR(__xludf.DUMMYFUNCTION("""COMPUTED_VALUE"""),"Eventos da Área")</f>
        <v>Eventos da Área</v>
      </c>
      <c r="B27" s="198" t="str">
        <f>IFERROR(__xludf.DUMMYFUNCTION("""COMPUTED_VALUE"""),"CIKM")</f>
        <v>CIKM</v>
      </c>
      <c r="C27" s="14" t="str">
        <f>IFERROR(__xludf.DUMMYFUNCTION("""COMPUTED_VALUE"""),"ACM International Conference on Information and Knowledge Management")</f>
        <v>ACM International Conference on Information and Knowledge Management</v>
      </c>
      <c r="D27" s="14">
        <f>IFERROR(__xludf.DUMMYFUNCTION("""COMPUTED_VALUE"""),79.0)</f>
        <v>79</v>
      </c>
      <c r="E27" s="199" t="str">
        <f>IFERROR(__xludf.DUMMYFUNCTION("""COMPUTED_VALUE"""),"https://scholar.google.com.br/citations?hl=pt-PT&amp;view_op=list_hcore&amp;venue=V-IMg2OTpU8J.2024")</f>
        <v>https://scholar.google.com.br/citations?hl=pt-PT&amp;view_op=list_hcore&amp;venue=V-IMg2OTpU8J.2024</v>
      </c>
      <c r="F27" s="16"/>
      <c r="G27" s="30"/>
      <c r="H27" s="30"/>
      <c r="I27" s="200" t="str">
        <f>IFERROR(__xludf.DUMMYFUNCTION("""COMPUTED_VALUE"""),"https://dblp.org/db/conf/cikm/index.html")</f>
        <v>https://dblp.org/db/conf/cikm/index.html</v>
      </c>
      <c r="J27" s="201"/>
      <c r="K27" s="30"/>
    </row>
    <row r="28">
      <c r="A28" s="68" t="str">
        <f>IFERROR(__xludf.DUMMYFUNCTION("""COMPUTED_VALUE"""),"Eventos da Área")</f>
        <v>Eventos da Área</v>
      </c>
      <c r="B28" s="204" t="str">
        <f>IFERROR(__xludf.DUMMYFUNCTION("""COMPUTED_VALUE"""),"SAC")</f>
        <v>SAC</v>
      </c>
      <c r="C28" s="14" t="str">
        <f>IFERROR(__xludf.DUMMYFUNCTION("""COMPUTED_VALUE"""),"ACM Symposium on Applied Computing")</f>
        <v>ACM Symposium on Applied Computing</v>
      </c>
      <c r="D28" s="14">
        <f>IFERROR(__xludf.DUMMYFUNCTION("""COMPUTED_VALUE"""),36.0)</f>
        <v>36</v>
      </c>
      <c r="E28" s="199" t="str">
        <f>IFERROR(__xludf.DUMMYFUNCTION("""COMPUTED_VALUE"""),"https://scholar.google.com.br/citations?hl=pt-PT&amp;view_op=list_hcore&amp;venue=eLhWa3qzEDsJ.2024")</f>
        <v>https://scholar.google.com.br/citations?hl=pt-PT&amp;view_op=list_hcore&amp;venue=eLhWa3qzEDsJ.2024</v>
      </c>
      <c r="F28" s="16"/>
      <c r="G28" s="30"/>
      <c r="H28" s="30"/>
      <c r="I28" s="200" t="str">
        <f>IFERROR(__xludf.DUMMYFUNCTION("""COMPUTED_VALUE"""),"https://dblp.org/db/conf/sac/index.html")</f>
        <v>https://dblp.org/db/conf/sac/index.html</v>
      </c>
      <c r="J28" s="201"/>
      <c r="K28" s="30"/>
    </row>
    <row r="29">
      <c r="A29" s="68" t="str">
        <f>IFERROR(__xludf.DUMMYFUNCTION("""COMPUTED_VALUE"""),"Eventos da Área")</f>
        <v>Eventos da Área</v>
      </c>
      <c r="B29" s="198" t="str">
        <f>IFERROR(__xludf.DUMMYFUNCTION("""COMPUTED_VALUE"""),"SoCC")</f>
        <v>SoCC</v>
      </c>
      <c r="C29" s="14" t="str">
        <f>IFERROR(__xludf.DUMMYFUNCTION("""COMPUTED_VALUE"""),"ACM Symposium on Cloud Computing")</f>
        <v>ACM Symposium on Cloud Computing</v>
      </c>
      <c r="D29" s="14">
        <f>IFERROR(__xludf.DUMMYFUNCTION("""COMPUTED_VALUE"""),35.0)</f>
        <v>35</v>
      </c>
      <c r="E29" s="199" t="str">
        <f>IFERROR(__xludf.DUMMYFUNCTION("""COMPUTED_VALUE"""),"https://scholar.google.com.br/citations?hl=pt-PT&amp;view_op=list_hcore&amp;venue=o1durVJyeP4J.2024")</f>
        <v>https://scholar.google.com.br/citations?hl=pt-PT&amp;view_op=list_hcore&amp;venue=o1durVJyeP4J.2024</v>
      </c>
      <c r="F29" s="16"/>
      <c r="G29" s="30"/>
      <c r="H29" s="30"/>
      <c r="I29" s="200" t="str">
        <f>IFERROR(__xludf.DUMMYFUNCTION("""COMPUTED_VALUE"""),"https://dblp.org/db/conf/cloud/index.html")</f>
        <v>https://dblp.org/db/conf/cloud/index.html</v>
      </c>
      <c r="J29" s="201"/>
      <c r="K29" s="30"/>
    </row>
    <row r="30">
      <c r="A30" s="68" t="str">
        <f>IFERROR(__xludf.DUMMYFUNCTION("""COMPUTED_VALUE"""),"Eventos da Área")</f>
        <v>Eventos da Área</v>
      </c>
      <c r="B30" s="198" t="str">
        <f>IFERROR(__xludf.DUMMYFUNCTION("""COMPUTED_VALUE"""),"COGSCI")</f>
        <v>COGSCI</v>
      </c>
      <c r="C30" s="14" t="str">
        <f>IFERROR(__xludf.DUMMYFUNCTION("""COMPUTED_VALUE"""),"Annual Meeting of the Cognitive Science Society")</f>
        <v>Annual Meeting of the Cognitive Science Society</v>
      </c>
      <c r="D30" s="14">
        <f>IFERROR(__xludf.DUMMYFUNCTION("""COMPUTED_VALUE"""),32.0)</f>
        <v>32</v>
      </c>
      <c r="E30" s="199" t="str">
        <f>IFERROR(__xludf.DUMMYFUNCTION("""COMPUTED_VALUE"""),"https://scholar.google.com.br/citations?hl=pt-PT&amp;view_op=list_hcore&amp;venue=e23jKy7NXr8J.2024")</f>
        <v>https://scholar.google.com.br/citations?hl=pt-PT&amp;view_op=list_hcore&amp;venue=e23jKy7NXr8J.2024</v>
      </c>
      <c r="F30" s="16"/>
      <c r="G30" s="30"/>
      <c r="H30" s="30"/>
      <c r="I30" s="200" t="str">
        <f>IFERROR(__xludf.DUMMYFUNCTION("""COMPUTED_VALUE"""),"https://dblp.org/db/conf/cogsci/index.html")</f>
        <v>https://dblp.org/db/conf/cogsci/index.html</v>
      </c>
      <c r="J30" s="201"/>
      <c r="K30" s="30"/>
    </row>
    <row r="31">
      <c r="A31" s="68" t="str">
        <f>IFERROR(__xludf.DUMMYFUNCTION("""COMPUTED_VALUE"""),"Eventos da Área")</f>
        <v>Eventos da Área</v>
      </c>
      <c r="B31" s="198" t="str">
        <f>IFERROR(__xludf.DUMMYFUNCTION("""COMPUTED_VALUE"""),"ACIS")</f>
        <v>ACIS</v>
      </c>
      <c r="C31" s="14" t="str">
        <f>IFERROR(__xludf.DUMMYFUNCTION("""COMPUTED_VALUE"""),"Australasian Conference on Information Systems")</f>
        <v>Australasian Conference on Information Systems</v>
      </c>
      <c r="D31" s="14">
        <f>IFERROR(__xludf.DUMMYFUNCTION("""COMPUTED_VALUE"""),14.0)</f>
        <v>14</v>
      </c>
      <c r="E31" s="199" t="str">
        <f>IFERROR(__xludf.DUMMYFUNCTION("""COMPUTED_VALUE"""),"https://scholar.google.com.br/citations?hl=pt-PT&amp;view_op=list_hcore&amp;venue=HnFLZaxAg88J.2024")</f>
        <v>https://scholar.google.com.br/citations?hl=pt-PT&amp;view_op=list_hcore&amp;venue=HnFLZaxAg88J.2024</v>
      </c>
      <c r="F31" s="16"/>
      <c r="G31" s="30"/>
      <c r="H31" s="30"/>
      <c r="I31" s="200" t="str">
        <f>IFERROR(__xludf.DUMMYFUNCTION("""COMPUTED_VALUE"""),"https://dblp.org/db/conf/acis/index.html")</f>
        <v>https://dblp.org/db/conf/acis/index.html</v>
      </c>
      <c r="J31" s="201"/>
      <c r="K31" s="30"/>
    </row>
    <row r="32">
      <c r="A32" s="68" t="str">
        <f>IFERROR(__xludf.DUMMYFUNCTION("""COMPUTED_VALUE"""),"Eventos da Área")</f>
        <v>Eventos da Área</v>
      </c>
      <c r="B32" s="198" t="str">
        <f>IFERROR(__xludf.DUMMYFUNCTION("""COMPUTED_VALUE"""),"CoNLL")</f>
        <v>CoNLL</v>
      </c>
      <c r="C32" s="14" t="str">
        <f>IFERROR(__xludf.DUMMYFUNCTION("""COMPUTED_VALUE"""),"Conference on Computational Natural Language Learning")</f>
        <v>Conference on Computational Natural Language Learning</v>
      </c>
      <c r="D32" s="14">
        <f>IFERROR(__xludf.DUMMYFUNCTION("""COMPUTED_VALUE"""),43.0)</f>
        <v>43</v>
      </c>
      <c r="E32" s="199" t="str">
        <f>IFERROR(__xludf.DUMMYFUNCTION("""COMPUTED_VALUE"""),"https://scholar.google.com.br/citations?hl=pt-PT&amp;view_op=list_hcore&amp;venue=H7TUtVM_vm4J.2024")</f>
        <v>https://scholar.google.com.br/citations?hl=pt-PT&amp;view_op=list_hcore&amp;venue=H7TUtVM_vm4J.2024</v>
      </c>
      <c r="F32" s="16"/>
      <c r="G32" s="30"/>
      <c r="H32" s="30"/>
      <c r="I32" s="200" t="str">
        <f>IFERROR(__xludf.DUMMYFUNCTION("""COMPUTED_VALUE"""),"https://dblp.org/db/conf/conll/index.html")</f>
        <v>https://dblp.org/db/conf/conll/index.html</v>
      </c>
      <c r="J32" s="201"/>
      <c r="K32" s="30"/>
    </row>
    <row r="33">
      <c r="A33" s="68" t="str">
        <f>IFERROR(__xludf.DUMMYFUNCTION("""COMPUTED_VALUE"""),"Eventos da Área")</f>
        <v>Eventos da Área</v>
      </c>
      <c r="B33" s="198" t="str">
        <f>IFERROR(__xludf.DUMMYFUNCTION("""COMPUTED_VALUE"""),"EMNLP")</f>
        <v>EMNLP</v>
      </c>
      <c r="C33" s="14" t="str">
        <f>IFERROR(__xludf.DUMMYFUNCTION("""COMPUTED_VALUE"""),"Conference on Empirical Methods in Natural Language Processing")</f>
        <v>Conference on Empirical Methods in Natural Language Processing</v>
      </c>
      <c r="D33" s="14">
        <f>IFERROR(__xludf.DUMMYFUNCTION("""COMPUTED_VALUE"""),176.0)</f>
        <v>176</v>
      </c>
      <c r="E33" s="199" t="str">
        <f>IFERROR(__xludf.DUMMYFUNCTION("""COMPUTED_VALUE"""),"https://scholar.google.com.br/citations?hl=pt-PT&amp;view_op=list_hcore&amp;venue=LqrQjvOguiMJ.2024")</f>
        <v>https://scholar.google.com.br/citations?hl=pt-PT&amp;view_op=list_hcore&amp;venue=LqrQjvOguiMJ.2024</v>
      </c>
      <c r="F33" s="16"/>
      <c r="G33" s="30"/>
      <c r="H33" s="30"/>
      <c r="I33" s="200" t="str">
        <f>IFERROR(__xludf.DUMMYFUNCTION("""COMPUTED_VALUE"""),"https://dblp.org/db/conf/emnlp/index.html")</f>
        <v>https://dblp.org/db/conf/emnlp/index.html</v>
      </c>
      <c r="J33" s="201"/>
      <c r="K33" s="30"/>
    </row>
    <row r="34">
      <c r="A34" s="68" t="str">
        <f>IFERROR(__xludf.DUMMYFUNCTION("""COMPUTED_VALUE"""),"Eventos da Área")</f>
        <v>Eventos da Área</v>
      </c>
      <c r="B34" s="198" t="str">
        <f>IFERROR(__xludf.DUMMYFUNCTION("""COMPUTED_VALUE"""),"CENTERIS")</f>
        <v>CENTERIS</v>
      </c>
      <c r="C34" s="14" t="str">
        <f>IFERROR(__xludf.DUMMYFUNCTION("""COMPUTED_VALUE"""),"Conference on ENTERprise Information Systems")</f>
        <v>Conference on ENTERprise Information Systems</v>
      </c>
      <c r="D34" s="14">
        <f>IFERROR(__xludf.DUMMYFUNCTION("""COMPUTED_VALUE"""),11.0)</f>
        <v>11</v>
      </c>
      <c r="E34" s="199" t="str">
        <f>IFERROR(__xludf.DUMMYFUNCTION("""COMPUTED_VALUE"""),"https://scholar.google.com/scholar?q=%22Conference+on+ENTERprise+Information+Systems+(CENTERIS)%22&amp;hl=pt-BR&amp;as_sdt=0,5&amp;as_ylo=2020&amp;as_yhi=2024")</f>
        <v>https://scholar.google.com/scholar?q=%22Conference+on+ENTERprise+Information+Systems+(CENTERIS)%22&amp;hl=pt-BR&amp;as_sdt=0,5&amp;as_ylo=2020&amp;as_yhi=2024</v>
      </c>
      <c r="F34" s="16"/>
      <c r="G34" s="30"/>
      <c r="H34" s="205" t="str">
        <f>IFERROR(__xludf.DUMMYFUNCTION("""COMPUTED_VALUE"""),"International Conference on Enterprise Information Systems")</f>
        <v>International Conference on Enterprise Information Systems</v>
      </c>
      <c r="I34" s="200" t="str">
        <f>IFERROR(__xludf.DUMMYFUNCTION("""COMPUTED_VALUE"""),"https://dblp.org/db/conf/centeris/index.html")</f>
        <v>https://dblp.org/db/conf/centeris/index.html</v>
      </c>
      <c r="J34" s="201"/>
      <c r="K34" s="30"/>
    </row>
    <row r="35">
      <c r="A35" s="68" t="str">
        <f>IFERROR(__xludf.DUMMYFUNCTION("""COMPUTED_VALUE"""),"Eventos da Área")</f>
        <v>Eventos da Área</v>
      </c>
      <c r="B35" s="120" t="str">
        <f>IFERROR(__xludf.DUMMYFUNCTION("""COMPUTED_VALUE"""),"HCOMP")</f>
        <v>HCOMP</v>
      </c>
      <c r="C35" s="14" t="str">
        <f>IFERROR(__xludf.DUMMYFUNCTION("""COMPUTED_VALUE"""),"Conference on Human Computation and Crowdsourcing")</f>
        <v>Conference on Human Computation and Crowdsourcing</v>
      </c>
      <c r="D35" s="14">
        <f>IFERROR(__xludf.DUMMYFUNCTION("""COMPUTED_VALUE"""),7.0)</f>
        <v>7</v>
      </c>
      <c r="E35" s="199" t="str">
        <f>IFERROR(__xludf.DUMMYFUNCTION("""COMPUTED_VALUE"""),"https://scholar.google.com.br/scholar?q=%22AAAI+Conference+on+Human+Computation+and+Crowdsourcing%22&amp;hl=pt-PT&amp;as_sdt=0,5&amp;as_ylo=2020&amp;as_yhi=2024")</f>
        <v>https://scholar.google.com.br/scholar?q=%22AAAI+Conference+on+Human+Computation+and+Crowdsourcing%22&amp;hl=pt-PT&amp;as_sdt=0,5&amp;as_ylo=2020&amp;as_yhi=2024</v>
      </c>
      <c r="F35" s="16"/>
      <c r="G35" s="30"/>
      <c r="H35" s="30" t="str">
        <f>IFERROR(__xludf.DUMMYFUNCTION("""COMPUTED_VALUE"""),"AAAI Conference on Human Computation &amp; Crowdsourcing")</f>
        <v>AAAI Conference on Human Computation &amp; Crowdsourcing</v>
      </c>
      <c r="I35" s="200" t="str">
        <f>IFERROR(__xludf.DUMMYFUNCTION("""COMPUTED_VALUE"""),"https://dblp.org/db/conf/hcomp/index.html")</f>
        <v>https://dblp.org/db/conf/hcomp/index.html</v>
      </c>
      <c r="J35" s="201"/>
      <c r="K35" s="30"/>
    </row>
    <row r="36">
      <c r="A36" s="68" t="str">
        <f>IFERROR(__xludf.DUMMYFUNCTION("""COMPUTED_VALUE"""),"Eventos da Área")</f>
        <v>Eventos da Área</v>
      </c>
      <c r="B36" s="202" t="str">
        <f>IFERROR(__xludf.DUMMYFUNCTION("""COMPUTED_VALUE"""),"CLEI")</f>
        <v>CLEI</v>
      </c>
      <c r="C36" s="14" t="str">
        <f>IFERROR(__xludf.DUMMYFUNCTION("""COMPUTED_VALUE"""),"Conferencia Latinoamericana de Informática / Conferencia Latinoamericana En Informatica")</f>
        <v>Conferencia Latinoamericana de Informática / Conferencia Latinoamericana En Informatica</v>
      </c>
      <c r="D36" s="14">
        <f>IFERROR(__xludf.DUMMYFUNCTION("""COMPUTED_VALUE"""),11.0)</f>
        <v>11</v>
      </c>
      <c r="E36" s="199" t="str">
        <f>IFERROR(__xludf.DUMMYFUNCTION("""COMPUTED_VALUE"""),"https://scholar.google.com.br/citations?hl=pt-PT&amp;view_op=list_hcore&amp;venue=ThEGj_a76ZUJ.2024")</f>
        <v>https://scholar.google.com.br/citations?hl=pt-PT&amp;view_op=list_hcore&amp;venue=ThEGj_a76ZUJ.2024</v>
      </c>
      <c r="F36" s="16"/>
      <c r="G36" s="30"/>
      <c r="H36" s="30" t="str">
        <f>IFERROR(__xludf.DUMMYFUNCTION("""COMPUTED_VALUE"""),"Latin American Computing Conference")</f>
        <v>Latin American Computing Conference</v>
      </c>
      <c r="I36" s="200" t="str">
        <f>IFERROR(__xludf.DUMMYFUNCTION("""COMPUTED_VALUE"""),"https://dblp.org/db/conf/clei/index.html")</f>
        <v>https://dblp.org/db/conf/clei/index.html</v>
      </c>
      <c r="J36" s="201"/>
      <c r="K36" s="30"/>
    </row>
    <row r="37">
      <c r="A37" s="68" t="str">
        <f>IFERROR(__xludf.DUMMYFUNCTION("""COMPUTED_VALUE"""),"Eventos da Área")</f>
        <v>Eventos da Área</v>
      </c>
      <c r="B37" s="198" t="str">
        <f>IFERROR(__xludf.DUMMYFUNCTION("""COMPUTED_VALUE"""),"CBS")</f>
        <v>CBS</v>
      </c>
      <c r="C37" s="14" t="str">
        <f>IFERROR(__xludf.DUMMYFUNCTION("""COMPUTED_VALUE"""),"Congresso Brasileiro de Sistemas")</f>
        <v>Congresso Brasileiro de Sistemas</v>
      </c>
      <c r="D37" s="14">
        <f>IFERROR(__xludf.DUMMYFUNCTION("""COMPUTED_VALUE"""),3.0)</f>
        <v>3</v>
      </c>
      <c r="E37" s="199" t="str">
        <f>IFERROR(__xludf.DUMMYFUNCTION("""COMPUTED_VALUE"""),"https://scholar.google.com.br/scholar?q=%22Congresso+Brasileiro+de+Sistemas%22&amp;hl=pt-BR&amp;as_sdt=0%2C5&amp;as_ylo=2020&amp;as_yhi=2024")</f>
        <v>https://scholar.google.com.br/scholar?q=%22Congresso+Brasileiro+de+Sistemas%22&amp;hl=pt-BR&amp;as_sdt=0%2C5&amp;as_ylo=2020&amp;as_yhi=2024</v>
      </c>
      <c r="F37" s="16"/>
      <c r="G37" s="30"/>
      <c r="H37" s="30"/>
      <c r="I37" s="26"/>
      <c r="J37" s="201"/>
      <c r="K37" s="30"/>
    </row>
    <row r="38">
      <c r="A38" s="68" t="str">
        <f>IFERROR(__xludf.DUMMYFUNCTION("""COMPUTED_VALUE"""),"Eventos da Área")</f>
        <v>Eventos da Área</v>
      </c>
      <c r="B38" s="198" t="str">
        <f>IFERROR(__xludf.DUMMYFUNCTION("""COMPUTED_VALUE"""),"DH")</f>
        <v>DH</v>
      </c>
      <c r="C38" s="14" t="str">
        <f>IFERROR(__xludf.DUMMYFUNCTION("""COMPUTED_VALUE"""),"Digital Heritage")</f>
        <v>Digital Heritage</v>
      </c>
      <c r="D38" s="14">
        <f>IFERROR(__xludf.DUMMYFUNCTION("""COMPUTED_VALUE"""),10.0)</f>
        <v>10</v>
      </c>
      <c r="E38" s="199" t="str">
        <f>IFERROR(__xludf.DUMMYFUNCTION("""COMPUTED_VALUE"""),"https://scholar.google.com.br/scholar?q=source%3ADigital+source%3AHeritage&amp;hl=pt-BR&amp;as_sdt=0%2C5&amp;as_ylo=2020&amp;as_yhi=2024")</f>
        <v>https://scholar.google.com.br/scholar?q=source%3ADigital+source%3AHeritage&amp;hl=pt-BR&amp;as_sdt=0%2C5&amp;as_ylo=2020&amp;as_yhi=2024</v>
      </c>
      <c r="F38" s="16"/>
      <c r="G38" s="30"/>
      <c r="H38" s="30" t="str">
        <f>IFERROR(__xludf.DUMMYFUNCTION("""COMPUTED_VALUE"""),"Digital Heritage International Congress")</f>
        <v>Digital Heritage International Congress</v>
      </c>
      <c r="I38" s="200" t="str">
        <f>IFERROR(__xludf.DUMMYFUNCTION("""COMPUTED_VALUE"""),"https://dblp.org/db/conf/dh/index.html")</f>
        <v>https://dblp.org/db/conf/dh/index.html</v>
      </c>
      <c r="J38" s="201"/>
      <c r="K38" s="30"/>
    </row>
    <row r="39">
      <c r="A39" s="68" t="str">
        <f>IFERROR(__xludf.DUMMYFUNCTION("""COMPUTED_VALUE"""),"Eventos da Área")</f>
        <v>Eventos da Área</v>
      </c>
      <c r="B39" s="198" t="str">
        <f>IFERROR(__xludf.DUMMYFUNCTION("""COMPUTED_VALUE"""),"EGOVIS")</f>
        <v>EGOVIS</v>
      </c>
      <c r="C39" s="14" t="str">
        <f>IFERROR(__xludf.DUMMYFUNCTION("""COMPUTED_VALUE"""),"Electronic Government and the Information Systems Perspective")</f>
        <v>Electronic Government and the Information Systems Perspective</v>
      </c>
      <c r="D39" s="14">
        <f>IFERROR(__xludf.DUMMYFUNCTION("""COMPUTED_VALUE"""),7.0)</f>
        <v>7</v>
      </c>
      <c r="E39" s="199" t="str">
        <f>IFERROR(__xludf.DUMMYFUNCTION("""COMPUTED_VALUE"""),"https://scholar.google.com/scholar?q=%22Electronic+Government+and+the+Information+Systems+Perspective%22&amp;hl=pt-BR&amp;as_sdt=0,5&amp;as_ylo=2020&amp;as_yhi=2024")</f>
        <v>https://scholar.google.com/scholar?q=%22Electronic+Government+and+the+Information+Systems+Perspective%22&amp;hl=pt-BR&amp;as_sdt=0,5&amp;as_ylo=2020&amp;as_yhi=2024</v>
      </c>
      <c r="F39" s="16"/>
      <c r="G39" s="30"/>
      <c r="H39" s="30"/>
      <c r="I39" s="200" t="str">
        <f>IFERROR(__xludf.DUMMYFUNCTION("""COMPUTED_VALUE"""),"https://dblp.org/db/conf/egovis/index.html")</f>
        <v>https://dblp.org/db/conf/egovis/index.html</v>
      </c>
      <c r="J39" s="201"/>
      <c r="K39" s="30"/>
    </row>
    <row r="40">
      <c r="A40" s="68" t="str">
        <f>IFERROR(__xludf.DUMMYFUNCTION("""COMPUTED_VALUE"""),"Eventos da Área")</f>
        <v>Eventos da Área</v>
      </c>
      <c r="B40" s="198" t="str">
        <f>IFERROR(__xludf.DUMMYFUNCTION("""COMPUTED_VALUE"""),"ENANPAD")</f>
        <v>ENANPAD</v>
      </c>
      <c r="C40" s="14" t="str">
        <f>IFERROR(__xludf.DUMMYFUNCTION("""COMPUTED_VALUE"""),"Encontro da Associação Nacional de Pós-Graduação e Pesquisa em Administração")</f>
        <v>Encontro da Associação Nacional de Pós-Graduação e Pesquisa em Administração</v>
      </c>
      <c r="D40" s="14">
        <f>IFERROR(__xludf.DUMMYFUNCTION("""COMPUTED_VALUE"""),4.0)</f>
        <v>4</v>
      </c>
      <c r="E40" s="199" t="str">
        <f>IFERROR(__xludf.DUMMYFUNCTION("""COMPUTED_VALUE"""),"https://scholar.google.com.br/scholar?q=source%3AEncontro+source%3Ada+source%3AAssocia%C3%A7%C3%A3o+source%3ANacional+source%3Ade+source%3AP%C3%B3s-Gradua%C3%A7%C3%A3o+source%3Ae+source%3APesquisa+source%3Aem+source%3AAdministra%C3%A7%C3%A3o&amp;hl=pt-BR&amp;as_s"&amp;"dt=0%2C5&amp;as_ylo=2020&amp;as_yhi=2024")</f>
        <v>https://scholar.google.com.br/scholar?q=source%3AEncontro+source%3Ada+source%3AAssocia%C3%A7%C3%A3o+source%3ANacional+source%3Ade+source%3AP%C3%B3s-Gradua%C3%A7%C3%A3o+source%3Ae+source%3APesquisa+source%3Aem+source%3AAdministra%C3%A7%C3%A3o&amp;hl=pt-BR&amp;as_sdt=0%2C5&amp;as_ylo=2020&amp;as_yhi=2024</v>
      </c>
      <c r="F40" s="16"/>
      <c r="G40" s="30"/>
      <c r="H40" s="30" t="str">
        <f>IFERROR(__xludf.DUMMYFUNCTION("""COMPUTED_VALUE"""),"Encontro Nacional da Associação Nacional de Pós-Graduação e Pesquisa em Administração")</f>
        <v>Encontro Nacional da Associação Nacional de Pós-Graduação e Pesquisa em Administração</v>
      </c>
      <c r="I40" s="26"/>
      <c r="J40" s="201"/>
      <c r="K40" s="30"/>
    </row>
    <row r="41">
      <c r="A41" s="68" t="str">
        <f>IFERROR(__xludf.DUMMYFUNCTION("""COMPUTED_VALUE"""),"Eventos da Área")</f>
        <v>Eventos da Área</v>
      </c>
      <c r="B41" s="198" t="str">
        <f>IFERROR(__xludf.DUMMYFUNCTION("""COMPUTED_VALUE"""),"EDOC")</f>
        <v>EDOC</v>
      </c>
      <c r="C41" s="14" t="str">
        <f>IFERROR(__xludf.DUMMYFUNCTION("""COMPUTED_VALUE"""),"Enterprise Design, Operations and Computing")</f>
        <v>Enterprise Design, Operations and Computing</v>
      </c>
      <c r="D41" s="14">
        <f>IFERROR(__xludf.DUMMYFUNCTION("""COMPUTED_VALUE"""),21.0)</f>
        <v>21</v>
      </c>
      <c r="E41" s="199" t="str">
        <f>IFERROR(__xludf.DUMMYFUNCTION("""COMPUTED_VALUE"""),"https://scholar.google.com.br/citations?hl=pt-PT&amp;view_op=list_hcore&amp;venue=HYNXXKncPYAJ.2024")</f>
        <v>https://scholar.google.com.br/citations?hl=pt-PT&amp;view_op=list_hcore&amp;venue=HYNXXKncPYAJ.2024</v>
      </c>
      <c r="F41" s="16"/>
      <c r="G41" s="30"/>
      <c r="H41" s="30" t="str">
        <f>IFERROR(__xludf.DUMMYFUNCTION("""COMPUTED_VALUE"""),"International IEEE Enterprise Distributed Object Computing Conference")</f>
        <v>International IEEE Enterprise Distributed Object Computing Conference</v>
      </c>
      <c r="I41" s="200" t="str">
        <f>IFERROR(__xludf.DUMMYFUNCTION("""COMPUTED_VALUE"""),"https://dblp.org/db/conf/edoc/index.html")</f>
        <v>https://dblp.org/db/conf/edoc/index.html</v>
      </c>
      <c r="J41" s="201"/>
      <c r="K41" s="30"/>
    </row>
    <row r="42">
      <c r="A42" s="68" t="str">
        <f>IFERROR(__xludf.DUMMYFUNCTION("""COMPUTED_VALUE"""),"Eventos da Área")</f>
        <v>Eventos da Área</v>
      </c>
      <c r="B42" s="120" t="str">
        <f>IFERROR(__xludf.DUMMYFUNCTION("""COMPUTED_VALUE"""),"EMCIS")</f>
        <v>EMCIS</v>
      </c>
      <c r="C42" s="14" t="str">
        <f>IFERROR(__xludf.DUMMYFUNCTION("""COMPUTED_VALUE"""),"European, Mediterranean, and Middle Eastern Conference on Information Systems")</f>
        <v>European, Mediterranean, and Middle Eastern Conference on Information Systems</v>
      </c>
      <c r="D42" s="14">
        <f>IFERROR(__xludf.DUMMYFUNCTION("""COMPUTED_VALUE"""),14.0)</f>
        <v>14</v>
      </c>
      <c r="E42" s="199" t="str">
        <f>IFERROR(__xludf.DUMMYFUNCTION("""COMPUTED_VALUE"""),"https://scholar.google.com.br/citations?hl=pt-PT&amp;view_op=list_hcore&amp;venue=QD5idH6caNAJ.2024")</f>
        <v>https://scholar.google.com.br/citations?hl=pt-PT&amp;view_op=list_hcore&amp;venue=QD5idH6caNAJ.2024</v>
      </c>
      <c r="F42" s="16"/>
      <c r="G42" s="30"/>
      <c r="H42" s="30"/>
      <c r="I42" s="200" t="str">
        <f>IFERROR(__xludf.DUMMYFUNCTION("""COMPUTED_VALUE"""),"https://dblp.org/db/conf/emcis/index.html")</f>
        <v>https://dblp.org/db/conf/emcis/index.html</v>
      </c>
      <c r="J42" s="201"/>
      <c r="K42" s="30"/>
    </row>
    <row r="43">
      <c r="A43" s="68" t="str">
        <f>IFERROR(__xludf.DUMMYFUNCTION("""COMPUTED_VALUE"""),"Eventos da Área")</f>
        <v>Eventos da Área</v>
      </c>
      <c r="B43" s="203" t="str">
        <f>IFERROR(__xludf.DUMMYFUNCTION("""COMPUTED_VALUE"""),"FEDCSIS")</f>
        <v>FEDCSIS</v>
      </c>
      <c r="C43" s="14" t="str">
        <f>IFERROR(__xludf.DUMMYFUNCTION("""COMPUTED_VALUE"""),"Federated Conference on Computer Science and Information Systems")</f>
        <v>Federated Conference on Computer Science and Information Systems</v>
      </c>
      <c r="D43" s="14">
        <f>IFERROR(__xludf.DUMMYFUNCTION("""COMPUTED_VALUE"""),22.0)</f>
        <v>22</v>
      </c>
      <c r="E43" s="199" t="str">
        <f>IFERROR(__xludf.DUMMYFUNCTION("""COMPUTED_VALUE"""),"https://scholar.google.com.br/citations?hl=pt-BR&amp;view_op=list_hcore&amp;venue=PHUeOJr2y-EJ.2024")</f>
        <v>https://scholar.google.com.br/citations?hl=pt-BR&amp;view_op=list_hcore&amp;venue=PHUeOJr2y-EJ.2024</v>
      </c>
      <c r="F43" s="16"/>
      <c r="G43" s="30"/>
      <c r="H43" s="30"/>
      <c r="I43" s="200" t="str">
        <f>IFERROR(__xludf.DUMMYFUNCTION("""COMPUTED_VALUE"""),"https://dblp.org/db/conf/fedcsis/index.html")</f>
        <v>https://dblp.org/db/conf/fedcsis/index.html</v>
      </c>
      <c r="J43" s="201"/>
      <c r="K43" s="30"/>
    </row>
    <row r="44">
      <c r="A44" s="68" t="str">
        <f>IFERROR(__xludf.DUMMYFUNCTION("""COMPUTED_VALUE"""),"Eventos da Área")</f>
        <v>Eventos da Área</v>
      </c>
      <c r="B44" s="202" t="str">
        <f>IFERROR(__xludf.DUMMYFUNCTION("""COMPUTED_VALUE"""),"HICSS")</f>
        <v>HICSS</v>
      </c>
      <c r="C44" s="14" t="str">
        <f>IFERROR(__xludf.DUMMYFUNCTION("""COMPUTED_VALUE"""),"Hawaii International Conference on System Sciences")</f>
        <v>Hawaii International Conference on System Sciences</v>
      </c>
      <c r="D44" s="14">
        <f>IFERROR(__xludf.DUMMYFUNCTION("""COMPUTED_VALUE"""),59.0)</f>
        <v>59</v>
      </c>
      <c r="E44" s="199" t="str">
        <f>IFERROR(__xludf.DUMMYFUNCTION("""COMPUTED_VALUE"""),"https://scholar.google.com.br/citations?hl=pt-PT&amp;view_op=list_hcore&amp;venue=6wBd043QhTIJ.2024")</f>
        <v>https://scholar.google.com.br/citations?hl=pt-PT&amp;view_op=list_hcore&amp;venue=6wBd043QhTIJ.2024</v>
      </c>
      <c r="F44" s="16"/>
      <c r="G44" s="30"/>
      <c r="H44" s="30"/>
      <c r="I44" s="200" t="str">
        <f>IFERROR(__xludf.DUMMYFUNCTION("""COMPUTED_VALUE"""),"https://dblp.org/db/conf/hicss/index.html")</f>
        <v>https://dblp.org/db/conf/hicss/index.html</v>
      </c>
      <c r="J44" s="201"/>
      <c r="K44" s="30"/>
    </row>
    <row r="45">
      <c r="A45" s="68" t="str">
        <f>IFERROR(__xludf.DUMMYFUNCTION("""COMPUTED_VALUE"""),"Eventos da Área")</f>
        <v>Eventos da Área</v>
      </c>
      <c r="B45" s="198" t="str">
        <f>IFERROR(__xludf.DUMMYFUNCTION("""COMPUTED_VALUE"""),"CISTI")</f>
        <v>CISTI</v>
      </c>
      <c r="C45" s="14" t="str">
        <f>IFERROR(__xludf.DUMMYFUNCTION("""COMPUTED_VALUE"""),"Iberian Conference on Information Systems and Technologies")</f>
        <v>Iberian Conference on Information Systems and Technologies</v>
      </c>
      <c r="D45" s="14">
        <f>IFERROR(__xludf.DUMMYFUNCTION("""COMPUTED_VALUE"""),23.0)</f>
        <v>23</v>
      </c>
      <c r="E45" s="199" t="str">
        <f>IFERROR(__xludf.DUMMYFUNCTION("""COMPUTED_VALUE"""),"https://scholar.google.com.br/citations?hl=pt-PT&amp;view_op=list_hcore&amp;venue=8MjqfFw7-w4J.2024")</f>
        <v>https://scholar.google.com.br/citations?hl=pt-PT&amp;view_op=list_hcore&amp;venue=8MjqfFw7-w4J.2024</v>
      </c>
      <c r="F45" s="16"/>
      <c r="G45" s="30"/>
      <c r="H45" s="30"/>
      <c r="I45" s="26"/>
      <c r="J45" s="201"/>
      <c r="K45" s="30"/>
    </row>
    <row r="46">
      <c r="A46" s="68" t="str">
        <f>IFERROR(__xludf.DUMMYFUNCTION("""COMPUTED_VALUE"""),"Eventos da Área")</f>
        <v>Eventos da Área</v>
      </c>
      <c r="B46" s="198" t="str">
        <f>IFERROR(__xludf.DUMMYFUNCTION("""COMPUTED_VALUE"""),"CLOUD")</f>
        <v>CLOUD</v>
      </c>
      <c r="C46" s="14" t="str">
        <f>IFERROR(__xludf.DUMMYFUNCTION("""COMPUTED_VALUE"""),"IEEE International Conference on Cloud Computing")</f>
        <v>IEEE International Conference on Cloud Computing</v>
      </c>
      <c r="D46" s="14">
        <f>IFERROR(__xludf.DUMMYFUNCTION("""COMPUTED_VALUE"""),34.0)</f>
        <v>34</v>
      </c>
      <c r="E46" s="199" t="str">
        <f>IFERROR(__xludf.DUMMYFUNCTION("""COMPUTED_VALUE"""),"https://scholar.google.com.br/citations?hl=pt-PT&amp;view_op=list_hcore&amp;venue=ioohKoS5imcJ.2024")</f>
        <v>https://scholar.google.com.br/citations?hl=pt-PT&amp;view_op=list_hcore&amp;venue=ioohKoS5imcJ.2024</v>
      </c>
      <c r="F46" s="16"/>
      <c r="G46" s="30"/>
      <c r="H46" s="30"/>
      <c r="I46" s="200" t="str">
        <f>IFERROR(__xludf.DUMMYFUNCTION("""COMPUTED_VALUE"""),"https://dblp.org/db/conf/IEEEcloud/index.html")</f>
        <v>https://dblp.org/db/conf/IEEEcloud/index.html</v>
      </c>
      <c r="J46" s="201"/>
      <c r="K46" s="30"/>
    </row>
    <row r="47">
      <c r="A47" s="68" t="str">
        <f>IFERROR(__xludf.DUMMYFUNCTION("""COMPUTED_VALUE"""),"Eventos da Área")</f>
        <v>Eventos da Área</v>
      </c>
      <c r="B47" s="202" t="str">
        <f>IFERROR(__xludf.DUMMYFUNCTION("""COMPUTED_VALUE"""),"CloudCom")</f>
        <v>CloudCom</v>
      </c>
      <c r="C47" s="14" t="str">
        <f>IFERROR(__xludf.DUMMYFUNCTION("""COMPUTED_VALUE"""),"IEEE International Conference on Cloud Computing, Technology and Science")</f>
        <v>IEEE International Conference on Cloud Computing, Technology and Science</v>
      </c>
      <c r="D47" s="14">
        <f>IFERROR(__xludf.DUMMYFUNCTION("""COMPUTED_VALUE"""),13.0)</f>
        <v>13</v>
      </c>
      <c r="E47" s="199" t="str">
        <f>IFERROR(__xludf.DUMMYFUNCTION("""COMPUTED_VALUE"""),"https://scholar.google.com.br/citations?hl=pt-PT&amp;view_op=list_hcore&amp;venue=aNZ314HiR4YJ.2024")</f>
        <v>https://scholar.google.com.br/citations?hl=pt-PT&amp;view_op=list_hcore&amp;venue=aNZ314HiR4YJ.2024</v>
      </c>
      <c r="F47" s="16"/>
      <c r="G47" s="30"/>
      <c r="H47" s="30"/>
      <c r="I47" s="200" t="str">
        <f>IFERROR(__xludf.DUMMYFUNCTION("""COMPUTED_VALUE"""),"https://dblp.org/db/conf/cloudcom/index.html")</f>
        <v>https://dblp.org/db/conf/cloudcom/index.html</v>
      </c>
      <c r="J47" s="201"/>
      <c r="K47" s="30"/>
    </row>
    <row r="48">
      <c r="A48" s="68" t="str">
        <f>IFERROR(__xludf.DUMMYFUNCTION("""COMPUTED_VALUE"""),"Eventos da Área")</f>
        <v>Eventos da Área</v>
      </c>
      <c r="B48" s="198" t="str">
        <f>IFERROR(__xludf.DUMMYFUNCTION("""COMPUTED_VALUE"""),"CloudNet")</f>
        <v>CloudNet</v>
      </c>
      <c r="C48" s="14" t="str">
        <f>IFERROR(__xludf.DUMMYFUNCTION("""COMPUTED_VALUE"""),"IEEE International Conference on Cloud Networking")</f>
        <v>IEEE International Conference on Cloud Networking</v>
      </c>
      <c r="D48" s="14">
        <f>IFERROR(__xludf.DUMMYFUNCTION("""COMPUTED_VALUE"""),16.0)</f>
        <v>16</v>
      </c>
      <c r="E48" s="199" t="str">
        <f>IFERROR(__xludf.DUMMYFUNCTION("""COMPUTED_VALUE"""),"https://scholar.google.com.br/citations?hl=pt-PT&amp;view_op=list_hcore&amp;venue=xDYTOighRhwJ.2024")</f>
        <v>https://scholar.google.com.br/citations?hl=pt-PT&amp;view_op=list_hcore&amp;venue=xDYTOighRhwJ.2024</v>
      </c>
      <c r="F48" s="16"/>
      <c r="G48" s="30"/>
      <c r="H48" s="30"/>
      <c r="I48" s="200" t="str">
        <f>IFERROR(__xludf.DUMMYFUNCTION("""COMPUTED_VALUE"""),"https://dblp.org/db/conf/cloudnet/index.html")</f>
        <v>https://dblp.org/db/conf/cloudnet/index.html</v>
      </c>
      <c r="J48" s="201"/>
      <c r="K48" s="30"/>
    </row>
    <row r="49">
      <c r="A49" s="68" t="str">
        <f>IFERROR(__xludf.DUMMYFUNCTION("""COMPUTED_VALUE"""),"Eventos da Área")</f>
        <v>Eventos da Área</v>
      </c>
      <c r="B49" s="198" t="str">
        <f>IFERROR(__xludf.DUMMYFUNCTION("""COMPUTED_VALUE"""),"CIT")</f>
        <v>CIT</v>
      </c>
      <c r="C49" s="14" t="str">
        <f>IFERROR(__xludf.DUMMYFUNCTION("""COMPUTED_VALUE"""),"IEEE International Conference on Computer and Information Technology")</f>
        <v>IEEE International Conference on Computer and Information Technology</v>
      </c>
      <c r="D49" s="14">
        <f>IFERROR(__xludf.DUMMYFUNCTION("""COMPUTED_VALUE"""),13.0)</f>
        <v>13</v>
      </c>
      <c r="E49" s="199" t="str">
        <f>IFERROR(__xludf.DUMMYFUNCTION("""COMPUTED_VALUE"""),"https://scholar.google.com.br/scholar?q=%22IEEE+International+Conference+on+Computer+and+Information+Technology%22&amp;hl=pt-BR&amp;as_sdt=0%2C5&amp;as_ylo=2020&amp;as_yhi=2024")</f>
        <v>https://scholar.google.com.br/scholar?q=%22IEEE+International+Conference+on+Computer+and+Information+Technology%22&amp;hl=pt-BR&amp;as_sdt=0%2C5&amp;as_ylo=2020&amp;as_yhi=2024</v>
      </c>
      <c r="F49" s="16"/>
      <c r="G49" s="30" t="str">
        <f>IFERROR(__xludf.DUMMYFUNCTION("""COMPUTED_VALUE"""),"International Conference on Information Technology (ICIT) – Conference on Information Technology (CIT)")</f>
        <v>International Conference on Information Technology (ICIT) – Conference on Information Technology (CIT)</v>
      </c>
      <c r="H49" s="30"/>
      <c r="I49" s="200" t="str">
        <f>IFERROR(__xludf.DUMMYFUNCTION("""COMPUTED_VALUE"""),"https://dblp.org/db/conf/cit/index.html")</f>
        <v>https://dblp.org/db/conf/cit/index.html</v>
      </c>
      <c r="J49" s="201"/>
      <c r="K49" s="30"/>
    </row>
    <row r="50">
      <c r="A50" s="68" t="str">
        <f>IFERROR(__xludf.DUMMYFUNCTION("""COMPUTED_VALUE"""),"Eventos da Área")</f>
        <v>Eventos da Área</v>
      </c>
      <c r="B50" s="203" t="str">
        <f>IFERROR(__xludf.DUMMYFUNCTION("""COMPUTED_VALUE"""),"DSAA")</f>
        <v>DSAA</v>
      </c>
      <c r="C50" s="14" t="str">
        <f>IFERROR(__xludf.DUMMYFUNCTION("""COMPUTED_VALUE"""),"IEEE International Conference on Data Science and Advanced Analytics")</f>
        <v>IEEE International Conference on Data Science and Advanced Analytics</v>
      </c>
      <c r="D50" s="14">
        <f>IFERROR(__xludf.DUMMYFUNCTION("""COMPUTED_VALUE"""),26.0)</f>
        <v>26</v>
      </c>
      <c r="E50" s="199" t="str">
        <f>IFERROR(__xludf.DUMMYFUNCTION("""COMPUTED_VALUE"""),"https://scholar.google.com.br/citations?hl=pt-PT&amp;view_op=list_hcore&amp;venue=ZHdJbJwh40EJ.2024")</f>
        <v>https://scholar.google.com.br/citations?hl=pt-PT&amp;view_op=list_hcore&amp;venue=ZHdJbJwh40EJ.2024</v>
      </c>
      <c r="F50" s="16"/>
      <c r="G50" s="30"/>
      <c r="H50" s="30"/>
      <c r="I50" s="200" t="str">
        <f>IFERROR(__xludf.DUMMYFUNCTION("""COMPUTED_VALUE"""),"https://dblp.org/db/conf/dsaa/index.html")</f>
        <v>https://dblp.org/db/conf/dsaa/index.html</v>
      </c>
      <c r="J50" s="201"/>
      <c r="K50" s="30"/>
    </row>
    <row r="51">
      <c r="A51" s="68" t="str">
        <f>IFERROR(__xludf.DUMMYFUNCTION("""COMPUTED_VALUE"""),"Eventos da Área")</f>
        <v>Eventos da Área</v>
      </c>
      <c r="B51" s="198" t="str">
        <f>IFERROR(__xludf.DUMMYFUNCTION("""COMPUTED_VALUE"""),"ICIIS")</f>
        <v>ICIIS</v>
      </c>
      <c r="C51" s="14" t="str">
        <f>IFERROR(__xludf.DUMMYFUNCTION("""COMPUTED_VALUE"""),"IEEE International Conference on Industrial and Information Systems")</f>
        <v>IEEE International Conference on Industrial and Information Systems</v>
      </c>
      <c r="D51" s="14">
        <f>IFERROR(__xludf.DUMMYFUNCTION("""COMPUTED_VALUE"""),17.0)</f>
        <v>17</v>
      </c>
      <c r="E51" s="199" t="str">
        <f>IFERROR(__xludf.DUMMYFUNCTION("""COMPUTED_VALUE"""),"https://scholar.google.com.br/citations?hl=pt-PT&amp;view_op=list_hcore&amp;venue=1ghmjqkbs8UJ.2024")</f>
        <v>https://scholar.google.com.br/citations?hl=pt-PT&amp;view_op=list_hcore&amp;venue=1ghmjqkbs8UJ.2024</v>
      </c>
      <c r="F51" s="16"/>
      <c r="G51" s="30"/>
      <c r="H51" s="30"/>
      <c r="I51" s="200" t="str">
        <f>IFERROR(__xludf.DUMMYFUNCTION("""COMPUTED_VALUE"""),"https://dblp.org/db/conf/iciis/index.html")</f>
        <v>https://dblp.org/db/conf/iciis/index.html</v>
      </c>
      <c r="J51" s="201"/>
      <c r="K51" s="30"/>
    </row>
    <row r="52">
      <c r="A52" s="68" t="str">
        <f>IFERROR(__xludf.DUMMYFUNCTION("""COMPUTED_VALUE"""),"Eventos da Área")</f>
        <v>Eventos da Área</v>
      </c>
      <c r="B52" s="198" t="str">
        <f>IFERROR(__xludf.DUMMYFUNCTION("""COMPUTED_VALUE"""),"SSE")</f>
        <v>SSE</v>
      </c>
      <c r="C52" s="14" t="str">
        <f>IFERROR(__xludf.DUMMYFUNCTION("""COMPUTED_VALUE"""),"IEEE International Conference on Services Computing")</f>
        <v>IEEE International Conference on Services Computing</v>
      </c>
      <c r="D52" s="14">
        <f>IFERROR(__xludf.DUMMYFUNCTION("""COMPUTED_VALUE"""),19.0)</f>
        <v>19</v>
      </c>
      <c r="E52" s="199" t="str">
        <f>IFERROR(__xludf.DUMMYFUNCTION("""COMPUTED_VALUE"""),"https://scholar.google.com.br/citations?hl=pt-PT&amp;view_op=list_hcore&amp;venue=_Fj23yox54QJ.2024")</f>
        <v>https://scholar.google.com.br/citations?hl=pt-PT&amp;view_op=list_hcore&amp;venue=_Fj23yox54QJ.2024</v>
      </c>
      <c r="F52" s="16"/>
      <c r="G52" s="30" t="str">
        <f>IFERROR(__xludf.DUMMYFUNCTION("""COMPUTED_VALUE"""),"IEEE International Conference on Software Services Engineering (IEEE SSE)")</f>
        <v>IEEE International Conference on Software Services Engineering (IEEE SSE)</v>
      </c>
      <c r="H52" s="30"/>
      <c r="I52" s="200" t="str">
        <f>IFERROR(__xludf.DUMMYFUNCTION("""COMPUTED_VALUE"""),"https://dblp.org/db/conf/IEEEscc/index.html")</f>
        <v>https://dblp.org/db/conf/IEEEscc/index.html</v>
      </c>
      <c r="J52" s="201"/>
      <c r="K52" s="30"/>
    </row>
    <row r="53">
      <c r="A53" s="68" t="str">
        <f>IFERROR(__xludf.DUMMYFUNCTION("""COMPUTED_VALUE"""),"Eventos da Área")</f>
        <v>Eventos da Área</v>
      </c>
      <c r="B53" s="202" t="str">
        <f>IFERROR(__xludf.DUMMYFUNCTION("""COMPUTED_VALUE"""),"ICWS")</f>
        <v>ICWS</v>
      </c>
      <c r="C53" s="14" t="str">
        <f>IFERROR(__xludf.DUMMYFUNCTION("""COMPUTED_VALUE"""),"IEEE International Conference on Web Services")</f>
        <v>IEEE International Conference on Web Services</v>
      </c>
      <c r="D53" s="14">
        <f>IFERROR(__xludf.DUMMYFUNCTION("""COMPUTED_VALUE"""),26.0)</f>
        <v>26</v>
      </c>
      <c r="E53" s="199" t="str">
        <f>IFERROR(__xludf.DUMMYFUNCTION("""COMPUTED_VALUE"""),"https://scholar.google.com.br/citations?hl=pt-PT&amp;view_op=list_hcore&amp;venue=UYzshLpmx2EJ.2024")</f>
        <v>https://scholar.google.com.br/citations?hl=pt-PT&amp;view_op=list_hcore&amp;venue=UYzshLpmx2EJ.2024</v>
      </c>
      <c r="F53" s="16"/>
      <c r="G53" s="30"/>
      <c r="H53" s="30" t="str">
        <f>IFERROR(__xludf.DUMMYFUNCTION("""COMPUTED_VALUE"""),"IEEE International Conference on Web Services")</f>
        <v>IEEE International Conference on Web Services</v>
      </c>
      <c r="I53" s="200" t="str">
        <f>IFERROR(__xludf.DUMMYFUNCTION("""COMPUTED_VALUE"""),"https://dblp.org/db/conf/icws/index.html")</f>
        <v>https://dblp.org/db/conf/icws/index.html</v>
      </c>
      <c r="J53" s="201"/>
      <c r="K53" s="30"/>
    </row>
    <row r="54">
      <c r="A54" s="68" t="str">
        <f>IFERROR(__xludf.DUMMYFUNCTION("""COMPUTED_VALUE"""),"Eventos da Área")</f>
        <v>Eventos da Área</v>
      </c>
      <c r="B54" s="198" t="str">
        <f>IFERROR(__xludf.DUMMYFUNCTION("""COMPUTED_VALUE"""),"CCGRID")</f>
        <v>CCGRID</v>
      </c>
      <c r="C54" s="14" t="str">
        <f>IFERROR(__xludf.DUMMYFUNCTION("""COMPUTED_VALUE"""),"IEEE/ACM International Symposium on Cluster, Cloud and Grid Computing")</f>
        <v>IEEE/ACM International Symposium on Cluster, Cloud and Grid Computing</v>
      </c>
      <c r="D54" s="14">
        <f>IFERROR(__xludf.DUMMYFUNCTION("""COMPUTED_VALUE"""),13.0)</f>
        <v>13</v>
      </c>
      <c r="E54" s="199" t="str">
        <f>IFERROR(__xludf.DUMMYFUNCTION("""COMPUTED_VALUE"""),"https://scholar.google.com/scholar?q=%22IEEE%2FACM+International+Symposium+on+Cluster%2C+Cloud+and+Grid+Computing%22&amp;hl=pt-BR&amp;as_sdt=0%2C5&amp;as_ylo=2020&amp;as_yhi=2024")</f>
        <v>https://scholar.google.com/scholar?q=%22IEEE%2FACM+International+Symposium+on+Cluster%2C+Cloud+and+Grid+Computing%22&amp;hl=pt-BR&amp;as_sdt=0%2C5&amp;as_ylo=2020&amp;as_yhi=2024</v>
      </c>
      <c r="F54" s="16"/>
      <c r="G54" s="30"/>
      <c r="H54" s="30"/>
      <c r="I54" s="200" t="str">
        <f>IFERROR(__xludf.DUMMYFUNCTION("""COMPUTED_VALUE"""),"https://dblp.org/db/conf/ccgrid/index.html")</f>
        <v>https://dblp.org/db/conf/ccgrid/index.html</v>
      </c>
      <c r="J54" s="201"/>
      <c r="K54" s="30"/>
    </row>
    <row r="55">
      <c r="A55" s="68" t="str">
        <f>IFERROR(__xludf.DUMMYFUNCTION("""COMPUTED_VALUE"""),"Eventos da Área")</f>
        <v>Eventos da Área</v>
      </c>
      <c r="B55" s="198" t="str">
        <f>IFERROR(__xludf.DUMMYFUNCTION("""COMPUTED_VALUE"""),"PoEM")</f>
        <v>PoEM</v>
      </c>
      <c r="C55" s="14" t="str">
        <f>IFERROR(__xludf.DUMMYFUNCTION("""COMPUTED_VALUE"""),"IFIP WG 8.1 Working Conference on the Practice of Enterprise Modelling")</f>
        <v>IFIP WG 8.1 Working Conference on the Practice of Enterprise Modelling</v>
      </c>
      <c r="D55" s="14">
        <f>IFERROR(__xludf.DUMMYFUNCTION("""COMPUTED_VALUE"""),12.0)</f>
        <v>12</v>
      </c>
      <c r="E55" s="199" t="str">
        <f>IFERROR(__xludf.DUMMYFUNCTION("""COMPUTED_VALUE"""),"https://scholar.google.com.br/citations?hl=pt-BR&amp;view_op=list_hcore&amp;venue=e5pHNeuFGzEJ.2024")</f>
        <v>https://scholar.google.com.br/citations?hl=pt-BR&amp;view_op=list_hcore&amp;venue=e5pHNeuFGzEJ.2024</v>
      </c>
      <c r="F55" s="16"/>
      <c r="G55" s="30"/>
      <c r="H55" s="30"/>
      <c r="I55" s="200" t="str">
        <f>IFERROR(__xludf.DUMMYFUNCTION("""COMPUTED_VALUE"""),"https://dblp.org/db/conf/ifip8-1/index.html")</f>
        <v>https://dblp.org/db/conf/ifip8-1/index.html</v>
      </c>
      <c r="J55" s="201"/>
      <c r="K55" s="30"/>
    </row>
    <row r="56">
      <c r="A56" s="68" t="str">
        <f>IFERROR(__xludf.DUMMYFUNCTION("""COMPUTED_VALUE"""),"Eventos da Área")</f>
        <v>Eventos da Área</v>
      </c>
      <c r="B56" s="198" t="str">
        <f>IFERROR(__xludf.DUMMYFUNCTION("""COMPUTED_VALUE"""),"IAS")</f>
        <v>IAS</v>
      </c>
      <c r="C56" s="14" t="str">
        <f>IFERROR(__xludf.DUMMYFUNCTION("""COMPUTED_VALUE"""),"Industry Applications Society Annual Meeting")</f>
        <v>Industry Applications Society Annual Meeting</v>
      </c>
      <c r="D56" s="14">
        <f>IFERROR(__xludf.DUMMYFUNCTION("""COMPUTED_VALUE"""),13.0)</f>
        <v>13</v>
      </c>
      <c r="E56" s="199" t="str">
        <f>IFERROR(__xludf.DUMMYFUNCTION("""COMPUTED_VALUE"""),"https://scholar.google.com/scholar?q=%22Industry+Applications+Society+Annual+Meeting%22&amp;hl=pt-BR&amp;as_sdt=0%2C5&amp;as_ylo=2020&amp;as_yhi=2024")</f>
        <v>https://scholar.google.com/scholar?q=%22Industry+Applications+Society+Annual+Meeting%22&amp;hl=pt-BR&amp;as_sdt=0%2C5&amp;as_ylo=2020&amp;as_yhi=2024</v>
      </c>
      <c r="F56" s="16"/>
      <c r="G56" s="30"/>
      <c r="H56" s="30"/>
      <c r="I56" s="200" t="str">
        <f>IFERROR(__xludf.DUMMYFUNCTION("""COMPUTED_VALUE"""),"https://dblp.org/db/conf/ias/index.html")</f>
        <v>https://dblp.org/db/conf/ias/index.html</v>
      </c>
      <c r="J56" s="201"/>
      <c r="K56" s="30"/>
    </row>
    <row r="57">
      <c r="A57" s="68" t="str">
        <f>IFERROR(__xludf.DUMMYFUNCTION("""COMPUTED_VALUE"""),"Eventos da Área")</f>
        <v>Eventos da Área</v>
      </c>
      <c r="B57" s="198" t="str">
        <f>IFERROR(__xludf.DUMMYFUNCTION("""COMPUTED_VALUE"""),"ISCRAM")</f>
        <v>ISCRAM</v>
      </c>
      <c r="C57" s="14" t="str">
        <f>IFERROR(__xludf.DUMMYFUNCTION("""COMPUTED_VALUE"""),"Information Systems for Crisis Response and Management")</f>
        <v>Information Systems for Crisis Response and Management</v>
      </c>
      <c r="D57" s="14">
        <f>IFERROR(__xludf.DUMMYFUNCTION("""COMPUTED_VALUE"""),21.0)</f>
        <v>21</v>
      </c>
      <c r="E57" s="199" t="str">
        <f>IFERROR(__xludf.DUMMYFUNCTION("""COMPUTED_VALUE"""),"https://scholar.google.com.br/citations?hl=pt-PT&amp;view_op=list_hcore&amp;venue=jpqK-S5bXocJ.2024")</f>
        <v>https://scholar.google.com.br/citations?hl=pt-PT&amp;view_op=list_hcore&amp;venue=jpqK-S5bXocJ.2024</v>
      </c>
      <c r="F57" s="16"/>
      <c r="G57" s="30"/>
      <c r="H57" s="30"/>
      <c r="I57" s="200" t="str">
        <f>IFERROR(__xludf.DUMMYFUNCTION("""COMPUTED_VALUE"""),"https://dblp.org/db/conf/iscram/index.html")</f>
        <v>https://dblp.org/db/conf/iscram/index.html</v>
      </c>
      <c r="J57" s="201"/>
      <c r="K57" s="30"/>
    </row>
    <row r="58">
      <c r="A58" s="68" t="str">
        <f>IFERROR(__xludf.DUMMYFUNCTION("""COMPUTED_VALUE"""),"Eventos da Área")</f>
        <v>Eventos da Área</v>
      </c>
      <c r="B58" s="198" t="str">
        <f>IFERROR(__xludf.DUMMYFUNCTION("""COMPUTED_VALUE"""),"ISLA")</f>
        <v>ISLA</v>
      </c>
      <c r="C58" s="14" t="str">
        <f>IFERROR(__xludf.DUMMYFUNCTION("""COMPUTED_VALUE"""),"Information Systems in Latin America")</f>
        <v>Information Systems in Latin America</v>
      </c>
      <c r="D58" s="14">
        <f>IFERROR(__xludf.DUMMYFUNCTION("""COMPUTED_VALUE"""),4.0)</f>
        <v>4</v>
      </c>
      <c r="E58" s="199" t="str">
        <f>IFERROR(__xludf.DUMMYFUNCTION("""COMPUTED_VALUE"""),"https://scholar.google.com/scholar?q=%22Information+Systems+in+Latin+America%22&amp;hl=pt-BR&amp;as_sdt=0%2C5&amp;as_ylo=2020&amp;as_yhi=2024")</f>
        <v>https://scholar.google.com/scholar?q=%22Information+Systems+in+Latin+America%22&amp;hl=pt-BR&amp;as_sdt=0%2C5&amp;as_ylo=2020&amp;as_yhi=2024</v>
      </c>
      <c r="F58" s="16"/>
      <c r="G58" s="30"/>
      <c r="H58" s="30"/>
      <c r="I58" s="200" t="str">
        <f>IFERROR(__xludf.DUMMYFUNCTION("""COMPUTED_VALUE"""),"https://aisel.aisnet.org/isla/")</f>
        <v>https://aisel.aisnet.org/isla/</v>
      </c>
      <c r="J58" s="201"/>
      <c r="K58" s="30"/>
    </row>
    <row r="59">
      <c r="A59" s="68" t="str">
        <f>IFERROR(__xludf.DUMMYFUNCTION("""COMPUTED_VALUE"""),"Eventos da Área")</f>
        <v>Eventos da Área</v>
      </c>
      <c r="B59" s="198" t="str">
        <f>IFERROR(__xludf.DUMMYFUNCTION("""COMPUTED_VALUE"""),"CEDEM")</f>
        <v>CEDEM</v>
      </c>
      <c r="C59" s="14" t="str">
        <f>IFERROR(__xludf.DUMMYFUNCTION("""COMPUTED_VALUE"""),"International Conference for E-Democracy and Open Government")</f>
        <v>International Conference for E-Democracy and Open Government</v>
      </c>
      <c r="D59" s="14">
        <f>IFERROR(__xludf.DUMMYFUNCTION("""COMPUTED_VALUE"""),9.0)</f>
        <v>9</v>
      </c>
      <c r="E59" s="199" t="str">
        <f>IFERROR(__xludf.DUMMYFUNCTION("""COMPUTED_VALUE"""),"https://scholar.google.com/scholar?q=International+Conference+for+E-Democracy+and+Open+Government&amp;hl=pt-BR&amp;as_sdt=0%2C5&amp;as_ylo=2020&amp;as_yhi=2024")</f>
        <v>https://scholar.google.com/scholar?q=International+Conference+for+E-Democracy+and+Open+Government&amp;hl=pt-BR&amp;as_sdt=0%2C5&amp;as_ylo=2020&amp;as_yhi=2024</v>
      </c>
      <c r="F59" s="16"/>
      <c r="G59" s="30" t="str">
        <f>IFERROR(__xludf.DUMMYFUNCTION("""COMPUTED_VALUE"""),"International Conference on eDemocracy &amp; eGovernment (ICEDEG)")</f>
        <v>International Conference on eDemocracy &amp; eGovernment (ICEDEG)</v>
      </c>
      <c r="H59" s="30"/>
      <c r="I59" s="200" t="str">
        <f>IFERROR(__xludf.DUMMYFUNCTION("""COMPUTED_VALUE"""),"https://dblp.org/db/conf/cedem/index.html")</f>
        <v>https://dblp.org/db/conf/cedem/index.html</v>
      </c>
      <c r="J59" s="201"/>
      <c r="K59" s="30"/>
    </row>
    <row r="60">
      <c r="A60" s="68" t="str">
        <f>IFERROR(__xludf.DUMMYFUNCTION("""COMPUTED_VALUE"""),"Eventos da Área")</f>
        <v>Eventos da Área</v>
      </c>
      <c r="B60" s="198" t="str">
        <f>IFERROR(__xludf.DUMMYFUNCTION("""COMPUTED_VALUE"""),"ASONAM")</f>
        <v>ASONAM</v>
      </c>
      <c r="C60" s="14" t="str">
        <f>IFERROR(__xludf.DUMMYFUNCTION("""COMPUTED_VALUE"""),"International Conference on Advances in Social Networks Analysis and Mining")</f>
        <v>International Conference on Advances in Social Networks Analysis and Mining</v>
      </c>
      <c r="D60" s="14">
        <f>IFERROR(__xludf.DUMMYFUNCTION("""COMPUTED_VALUE"""),36.0)</f>
        <v>36</v>
      </c>
      <c r="E60" s="199" t="str">
        <f>IFERROR(__xludf.DUMMYFUNCTION("""COMPUTED_VALUE"""),"https://scholar.google.com.br/citations?hl=pt-PT&amp;view_op=list_hcore&amp;venue=71Q5CJZj-VYJ.2024")</f>
        <v>https://scholar.google.com.br/citations?hl=pt-PT&amp;view_op=list_hcore&amp;venue=71Q5CJZj-VYJ.2024</v>
      </c>
      <c r="F60" s="16"/>
      <c r="G60" s="30"/>
      <c r="H60" s="30"/>
      <c r="I60" s="200" t="str">
        <f>IFERROR(__xludf.DUMMYFUNCTION("""COMPUTED_VALUE"""),"https://dblp.org/db/conf/asunam/index.html")</f>
        <v>https://dblp.org/db/conf/asunam/index.html</v>
      </c>
      <c r="J60" s="201"/>
      <c r="K60" s="30"/>
    </row>
    <row r="61">
      <c r="A61" s="68" t="str">
        <f>IFERROR(__xludf.DUMMYFUNCTION("""COMPUTED_VALUE"""),"Eventos da Área")</f>
        <v>Eventos da Área</v>
      </c>
      <c r="B61" s="198" t="str">
        <f>IFERROR(__xludf.DUMMYFUNCTION("""COMPUTED_VALUE"""),"AICT")</f>
        <v>AICT</v>
      </c>
      <c r="C61" s="14" t="str">
        <f>IFERROR(__xludf.DUMMYFUNCTION("""COMPUTED_VALUE"""),"International Conference on Application of Information and Communication Technologies")</f>
        <v>International Conference on Application of Information and Communication Technologies</v>
      </c>
      <c r="D61" s="14">
        <f>IFERROR(__xludf.DUMMYFUNCTION("""COMPUTED_VALUE"""),16.0)</f>
        <v>16</v>
      </c>
      <c r="E61" s="199" t="str">
        <f>IFERROR(__xludf.DUMMYFUNCTION("""COMPUTED_VALUE"""),"https://scholar.google.com.br/citations?hl=pt-PT&amp;view_op=list_hcore&amp;venue=lyn0_4ToR5cJ.2024")</f>
        <v>https://scholar.google.com.br/citations?hl=pt-PT&amp;view_op=list_hcore&amp;venue=lyn0_4ToR5cJ.2024</v>
      </c>
      <c r="F61" s="16"/>
      <c r="G61" s="30"/>
      <c r="H61" s="30"/>
      <c r="I61" s="200" t="str">
        <f>IFERROR(__xludf.DUMMYFUNCTION("""COMPUTED_VALUE"""),"https://dblp.org/db/conf/aict/index.html")</f>
        <v>https://dblp.org/db/conf/aict/index.html</v>
      </c>
      <c r="J61" s="201"/>
      <c r="K61" s="30"/>
    </row>
    <row r="62">
      <c r="A62" s="68" t="str">
        <f>IFERROR(__xludf.DUMMYFUNCTION("""COMPUTED_VALUE"""),"Eventos da Área")</f>
        <v>Eventos da Área</v>
      </c>
      <c r="B62" s="198" t="str">
        <f>IFERROR(__xludf.DUMMYFUNCTION("""COMPUTED_VALUE"""),"NLDB")</f>
        <v>NLDB</v>
      </c>
      <c r="C62" s="14" t="str">
        <f>IFERROR(__xludf.DUMMYFUNCTION("""COMPUTED_VALUE"""),"International Conference on Applications of Natural Language to Information Systems")</f>
        <v>International Conference on Applications of Natural Language to Information Systems</v>
      </c>
      <c r="D62" s="14">
        <f>IFERROR(__xludf.DUMMYFUNCTION("""COMPUTED_VALUE"""),16.0)</f>
        <v>16</v>
      </c>
      <c r="E62" s="199" t="str">
        <f>IFERROR(__xludf.DUMMYFUNCTION("""COMPUTED_VALUE"""),"https://scholar.google.com.br/citations?hl=pt-PT&amp;view_op=list_hcore&amp;venue=4YrITWKg3KAJ.2024")</f>
        <v>https://scholar.google.com.br/citations?hl=pt-PT&amp;view_op=list_hcore&amp;venue=4YrITWKg3KAJ.2024</v>
      </c>
      <c r="F62" s="16"/>
      <c r="G62" s="30"/>
      <c r="H62" s="30"/>
      <c r="I62" s="200" t="str">
        <f>IFERROR(__xludf.DUMMYFUNCTION("""COMPUTED_VALUE"""),"https://dblp.org/db/conf/nldb/index.html")</f>
        <v>https://dblp.org/db/conf/nldb/index.html</v>
      </c>
      <c r="J62" s="201"/>
      <c r="K62" s="30"/>
    </row>
    <row r="63">
      <c r="A63" s="68" t="str">
        <f>IFERROR(__xludf.DUMMYFUNCTION("""COMPUTED_VALUE"""),"Eventos da Área")</f>
        <v>Eventos da Área</v>
      </c>
      <c r="B63" s="198" t="str">
        <f>IFERROR(__xludf.DUMMYFUNCTION("""COMPUTED_VALUE"""),"BIS")</f>
        <v>BIS</v>
      </c>
      <c r="C63" s="14" t="str">
        <f>IFERROR(__xludf.DUMMYFUNCTION("""COMPUTED_VALUE"""),"International Conference on Business Information Systems")</f>
        <v>International Conference on Business Information Systems</v>
      </c>
      <c r="D63" s="14">
        <f>IFERROR(__xludf.DUMMYFUNCTION("""COMPUTED_VALUE"""),16.0)</f>
        <v>16</v>
      </c>
      <c r="E63" s="199" t="str">
        <f>IFERROR(__xludf.DUMMYFUNCTION("""COMPUTED_VALUE"""),"https://scholar.google.com.br/citations?hl=pt-PT&amp;view_op=list_hcore&amp;venue=qAXde7fvX5YJ.2024")</f>
        <v>https://scholar.google.com.br/citations?hl=pt-PT&amp;view_op=list_hcore&amp;venue=qAXde7fvX5YJ.2024</v>
      </c>
      <c r="F63" s="16"/>
      <c r="G63" s="30"/>
      <c r="H63" s="30" t="str">
        <f>IFERROR(__xludf.DUMMYFUNCTION("""COMPUTED_VALUE"""),"BIS: Business Information Systems")</f>
        <v>BIS: Business Information Systems</v>
      </c>
      <c r="I63" s="200" t="str">
        <f>IFERROR(__xludf.DUMMYFUNCTION("""COMPUTED_VALUE"""),"https://dblp.org/db/conf/bis/index.html")</f>
        <v>https://dblp.org/db/conf/bis/index.html</v>
      </c>
      <c r="J63" s="201"/>
      <c r="K63" s="30"/>
    </row>
    <row r="64">
      <c r="A64" s="68" t="str">
        <f>IFERROR(__xludf.DUMMYFUNCTION("""COMPUTED_VALUE"""),"Eventos da Área")</f>
        <v>Eventos da Área</v>
      </c>
      <c r="B64" s="198" t="str">
        <f>IFERROR(__xludf.DUMMYFUNCTION("""COMPUTED_VALUE"""),"CLOSER")</f>
        <v>CLOSER</v>
      </c>
      <c r="C64" s="14" t="str">
        <f>IFERROR(__xludf.DUMMYFUNCTION("""COMPUTED_VALUE"""),"International Conference on Cloud Computing and Services Science")</f>
        <v>International Conference on Cloud Computing and Services Science</v>
      </c>
      <c r="D64" s="14">
        <f>IFERROR(__xludf.DUMMYFUNCTION("""COMPUTED_VALUE"""),15.0)</f>
        <v>15</v>
      </c>
      <c r="E64" s="199" t="str">
        <f>IFERROR(__xludf.DUMMYFUNCTION("""COMPUTED_VALUE"""),"https://scholar.google.com.br/citations?hl=pt-PT&amp;view_op=list_hcore&amp;venue=hltkuBaF_uEJ.2024")</f>
        <v>https://scholar.google.com.br/citations?hl=pt-PT&amp;view_op=list_hcore&amp;venue=hltkuBaF_uEJ.2024</v>
      </c>
      <c r="F64" s="16"/>
      <c r="G64" s="30"/>
      <c r="H64" s="30"/>
      <c r="I64" s="200" t="str">
        <f>IFERROR(__xludf.DUMMYFUNCTION("""COMPUTED_VALUE"""),"https://dblp.org/db/conf/closer/index.html")</f>
        <v>https://dblp.org/db/conf/closer/index.html</v>
      </c>
      <c r="J64" s="201"/>
      <c r="K64" s="30"/>
    </row>
    <row r="65">
      <c r="A65" s="68" t="str">
        <f>IFERROR(__xludf.DUMMYFUNCTION("""COMPUTED_VALUE"""),"Eventos da Área")</f>
        <v>Eventos da Área</v>
      </c>
      <c r="B65" s="198" t="str">
        <f>IFERROR(__xludf.DUMMYFUNCTION("""COMPUTED_VALUE"""),"CLOUDTECH")</f>
        <v>CLOUDTECH</v>
      </c>
      <c r="C65" s="14" t="str">
        <f>IFERROR(__xludf.DUMMYFUNCTION("""COMPUTED_VALUE"""),"International Conference on Cloud Computing Technologies and Applications")</f>
        <v>International Conference on Cloud Computing Technologies and Applications</v>
      </c>
      <c r="D65" s="14">
        <f>IFERROR(__xludf.DUMMYFUNCTION("""COMPUTED_VALUE"""),13.0)</f>
        <v>13</v>
      </c>
      <c r="E65" s="199" t="str">
        <f>IFERROR(__xludf.DUMMYFUNCTION("""COMPUTED_VALUE"""),"https://scholar.google.com/scholar?q=%22International+Conference+on+Cloud+Computing+Technologies+and+Applications%22&amp;hl=pt-BR&amp;as_sdt=0%2C5&amp;as_ylo=2020&amp;as_yhi=2024")</f>
        <v>https://scholar.google.com/scholar?q=%22International+Conference+on+Cloud+Computing+Technologies+and+Applications%22&amp;hl=pt-BR&amp;as_sdt=0%2C5&amp;as_ylo=2020&amp;as_yhi=2024</v>
      </c>
      <c r="F65" s="16"/>
      <c r="G65" s="30" t="str">
        <f>IFERROR(__xludf.DUMMYFUNCTION("""COMPUTED_VALUE"""),"International Conference on Cloud Computing and Artificial Intelligence: Technologies and Applications (CloudTech)")</f>
        <v>International Conference on Cloud Computing and Artificial Intelligence: Technologies and Applications (CloudTech)</v>
      </c>
      <c r="H65" s="30"/>
      <c r="I65" s="200" t="str">
        <f>IFERROR(__xludf.DUMMYFUNCTION("""COMPUTED_VALUE"""),"https://dblp.org/db/conf/cloudtech/index.html")</f>
        <v>https://dblp.org/db/conf/cloudtech/index.html</v>
      </c>
      <c r="J65" s="201"/>
      <c r="K65" s="30"/>
    </row>
    <row r="66">
      <c r="A66" s="68" t="str">
        <f>IFERROR(__xludf.DUMMYFUNCTION("""COMPUTED_VALUE"""),"Eventos da Área")</f>
        <v>Eventos da Área</v>
      </c>
      <c r="B66" s="120" t="str">
        <f>IFERROR(__xludf.DUMMYFUNCTION("""COMPUTED_VALUE"""),"CITS")</f>
        <v>CITS</v>
      </c>
      <c r="C66" s="14" t="str">
        <f>IFERROR(__xludf.DUMMYFUNCTION("""COMPUTED_VALUE"""),"International Conference on Computer, Information, and Telecommunication Systems")</f>
        <v>International Conference on Computer, Information, and Telecommunication Systems</v>
      </c>
      <c r="D66" s="14">
        <f>IFERROR(__xludf.DUMMYFUNCTION("""COMPUTED_VALUE"""),14.0)</f>
        <v>14</v>
      </c>
      <c r="E66" s="199" t="str">
        <f>IFERROR(__xludf.DUMMYFUNCTION("""COMPUTED_VALUE"""),"https://scholar.google.com.br/citations?hl=pt-PT&amp;view_op=list_hcore&amp;venue=FdZkG8N8jboJ.2024")</f>
        <v>https://scholar.google.com.br/citations?hl=pt-PT&amp;view_op=list_hcore&amp;venue=FdZkG8N8jboJ.2024</v>
      </c>
      <c r="F66" s="16"/>
      <c r="G66" s="30"/>
      <c r="H66" s="30"/>
      <c r="I66" s="200" t="str">
        <f>IFERROR(__xludf.DUMMYFUNCTION("""COMPUTED_VALUE"""),"https://dblp.org/db/conf/cits/index.html")</f>
        <v>https://dblp.org/db/conf/cits/index.html</v>
      </c>
      <c r="J66" s="201"/>
      <c r="K66" s="30"/>
    </row>
    <row r="67">
      <c r="A67" s="68" t="str">
        <f>IFERROR(__xludf.DUMMYFUNCTION("""COMPUTED_VALUE"""),"Eventos da Área")</f>
        <v>Eventos da Área</v>
      </c>
      <c r="B67" s="198" t="str">
        <f>IFERROR(__xludf.DUMMYFUNCTION("""COMPUTED_VALUE"""),"ER")</f>
        <v>ER</v>
      </c>
      <c r="C67" s="14" t="str">
        <f>IFERROR(__xludf.DUMMYFUNCTION("""COMPUTED_VALUE"""),"International Conference on Conceptual Modeling")</f>
        <v>International Conference on Conceptual Modeling</v>
      </c>
      <c r="D67" s="14">
        <f>IFERROR(__xludf.DUMMYFUNCTION("""COMPUTED_VALUE"""),20.0)</f>
        <v>20</v>
      </c>
      <c r="E67" s="199" t="str">
        <f>IFERROR(__xludf.DUMMYFUNCTION("""COMPUTED_VALUE"""),"https://scholar.google.com.br/citations?hl=pt-PT&amp;view_op=list_hcore&amp;venue=wB6WaEpFlvgJ.2024")</f>
        <v>https://scholar.google.com.br/citations?hl=pt-PT&amp;view_op=list_hcore&amp;venue=wB6WaEpFlvgJ.2024</v>
      </c>
      <c r="F67" s="16"/>
      <c r="G67" s="30"/>
      <c r="H67" s="30"/>
      <c r="I67" s="200" t="str">
        <f>IFERROR(__xludf.DUMMYFUNCTION("""COMPUTED_VALUE"""),"https://dblp.org/db/conf/er/index.html")</f>
        <v>https://dblp.org/db/conf/er/index.html</v>
      </c>
      <c r="J67" s="201"/>
      <c r="K67" s="30"/>
    </row>
    <row r="68">
      <c r="A68" s="68" t="str">
        <f>IFERROR(__xludf.DUMMYFUNCTION("""COMPUTED_VALUE"""),"Eventos da Área")</f>
        <v>Eventos da Área</v>
      </c>
      <c r="B68" s="198" t="str">
        <f>IFERROR(__xludf.DUMMYFUNCTION("""COMPUTED_VALUE"""),"CoopIS")</f>
        <v>CoopIS</v>
      </c>
      <c r="C68" s="14" t="str">
        <f>IFERROR(__xludf.DUMMYFUNCTION("""COMPUTED_VALUE"""),"International Conference on Cooperative Information Systems")</f>
        <v>International Conference on Cooperative Information Systems</v>
      </c>
      <c r="D68" s="14">
        <f>IFERROR(__xludf.DUMMYFUNCTION("""COMPUTED_VALUE"""),6.0)</f>
        <v>6</v>
      </c>
      <c r="E68" s="199" t="str">
        <f>IFERROR(__xludf.DUMMYFUNCTION("""COMPUTED_VALUE"""),"https://scholar.google.com/scholar?q=%22International+Conference+on+Cooperative+Information+Systems%22&amp;hl=pt-BR&amp;as_sdt=0%2C5&amp;as_ylo=2020&amp;as_yhi=2024")</f>
        <v>https://scholar.google.com/scholar?q=%22International+Conference+on+Cooperative+Information+Systems%22&amp;hl=pt-BR&amp;as_sdt=0%2C5&amp;as_ylo=2020&amp;as_yhi=2024</v>
      </c>
      <c r="F68" s="16"/>
      <c r="G68" s="30"/>
      <c r="H68" s="30"/>
      <c r="I68" s="200" t="str">
        <f>IFERROR(__xludf.DUMMYFUNCTION("""COMPUTED_VALUE"""),"https://dblp.org/db/conf/coopis/index.html")</f>
        <v>https://dblp.org/db/conf/coopis/index.html</v>
      </c>
      <c r="J68" s="201"/>
      <c r="K68" s="30"/>
    </row>
    <row r="69">
      <c r="A69" s="68" t="str">
        <f>IFERROR(__xludf.DUMMYFUNCTION("""COMPUTED_VALUE"""),"Eventos da Área")</f>
        <v>Eventos da Área</v>
      </c>
      <c r="B69" s="198" t="str">
        <f>IFERROR(__xludf.DUMMYFUNCTION("""COMPUTED_VALUE"""),"DATA")</f>
        <v>DATA</v>
      </c>
      <c r="C69" s="14" t="str">
        <f>IFERROR(__xludf.DUMMYFUNCTION("""COMPUTED_VALUE"""),"International Conference on Data Science, E-learning and Information Systems")</f>
        <v>International Conference on Data Science, E-learning and Information Systems</v>
      </c>
      <c r="D69" s="14">
        <f>IFERROR(__xludf.DUMMYFUNCTION("""COMPUTED_VALUE"""),15.0)</f>
        <v>15</v>
      </c>
      <c r="E69" s="199" t="str">
        <f>IFERROR(__xludf.DUMMYFUNCTION("""COMPUTED_VALUE"""),"https://scholar.google.com.br/citations?hl=pt-BR&amp;view_op=list_hcore&amp;venue=aRfvSgRTrjoJ.2024")</f>
        <v>https://scholar.google.com.br/citations?hl=pt-BR&amp;view_op=list_hcore&amp;venue=aRfvSgRTrjoJ.2024</v>
      </c>
      <c r="F69" s="16"/>
      <c r="G69" s="30"/>
      <c r="H69" s="30"/>
      <c r="I69" s="200" t="str">
        <f>IFERROR(__xludf.DUMMYFUNCTION("""COMPUTED_VALUE"""),"https://dblp.org/db/conf/data/index.html")</f>
        <v>https://dblp.org/db/conf/data/index.html</v>
      </c>
      <c r="J69" s="201"/>
      <c r="K69" s="30"/>
    </row>
    <row r="70">
      <c r="A70" s="68" t="str">
        <f>IFERROR(__xludf.DUMMYFUNCTION("""COMPUTED_VALUE"""),"Eventos da Área")</f>
        <v>Eventos da Área</v>
      </c>
      <c r="B70" s="198" t="str">
        <f>IFERROR(__xludf.DUMMYFUNCTION("""COMPUTED_VALUE"""),"ICDIM")</f>
        <v>ICDIM</v>
      </c>
      <c r="C70" s="14" t="str">
        <f>IFERROR(__xludf.DUMMYFUNCTION("""COMPUTED_VALUE"""),"International Conference on Digital Information Management")</f>
        <v>International Conference on Digital Information Management</v>
      </c>
      <c r="D70" s="14">
        <f>IFERROR(__xludf.DUMMYFUNCTION("""COMPUTED_VALUE"""),32.0)</f>
        <v>32</v>
      </c>
      <c r="E70" s="199" t="str">
        <f>IFERROR(__xludf.DUMMYFUNCTION("""COMPUTED_VALUE"""),"https://scholar.google.com.br/scholar?q=International+Conference+on+Digital+Information+Management&amp;hl=pt-BR&amp;as_sdt=0%2C5&amp;as_vis=1&amp;as_ylo=2020&amp;as_yhi=2024")</f>
        <v>https://scholar.google.com.br/scholar?q=International+Conference+on+Digital+Information+Management&amp;hl=pt-BR&amp;as_sdt=0%2C5&amp;as_vis=1&amp;as_ylo=2020&amp;as_yhi=2024</v>
      </c>
      <c r="F70" s="16"/>
      <c r="G70" s="30"/>
      <c r="H70" s="30"/>
      <c r="I70" s="200" t="str">
        <f>IFERROR(__xludf.DUMMYFUNCTION("""COMPUTED_VALUE"""),"https://dblp.org/db/conf/icdim/index.html")</f>
        <v>https://dblp.org/db/conf/icdim/index.html</v>
      </c>
      <c r="J70" s="201"/>
      <c r="K70" s="30"/>
    </row>
    <row r="71">
      <c r="A71" s="68" t="str">
        <f>IFERROR(__xludf.DUMMYFUNCTION("""COMPUTED_VALUE"""),"Eventos da Área")</f>
        <v>Eventos da Área</v>
      </c>
      <c r="B71" s="198" t="str">
        <f>IFERROR(__xludf.DUMMYFUNCTION("""COMPUTED_VALUE"""),"ic-ETITE")</f>
        <v>ic-ETITE</v>
      </c>
      <c r="C71" s="14" t="str">
        <f>IFERROR(__xludf.DUMMYFUNCTION("""COMPUTED_VALUE"""),"International Conference on Emerging Trends in Information Technology and Engineering")</f>
        <v>International Conference on Emerging Trends in Information Technology and Engineering</v>
      </c>
      <c r="D71" s="14">
        <f>IFERROR(__xludf.DUMMYFUNCTION("""COMPUTED_VALUE"""),21.0)</f>
        <v>21</v>
      </c>
      <c r="E71" s="199" t="str">
        <f>IFERROR(__xludf.DUMMYFUNCTION("""COMPUTED_VALUE"""),"https://scholar.google.com.br/citations?hl=pt-PT&amp;view_op=list_hcore&amp;venue=MK4W6BWjMjYJ.2024")</f>
        <v>https://scholar.google.com.br/citations?hl=pt-PT&amp;view_op=list_hcore&amp;venue=MK4W6BWjMjYJ.2024</v>
      </c>
      <c r="F71" s="16"/>
      <c r="G71" s="30"/>
      <c r="H71" s="30"/>
      <c r="I71" s="26"/>
      <c r="J71" s="201"/>
      <c r="K71" s="30"/>
    </row>
    <row r="72">
      <c r="A72" s="68" t="str">
        <f>IFERROR(__xludf.DUMMYFUNCTION("""COMPUTED_VALUE"""),"Eventos da Área")</f>
        <v>Eventos da Área</v>
      </c>
      <c r="B72" s="198" t="str">
        <f>IFERROR(__xludf.DUMMYFUNCTION("""COMPUTED_VALUE"""),"INDUSCON")</f>
        <v>INDUSCON</v>
      </c>
      <c r="C72" s="14" t="str">
        <f>IFERROR(__xludf.DUMMYFUNCTION("""COMPUTED_VALUE"""),"International Conference on Industry Applications")</f>
        <v>International Conference on Industry Applications</v>
      </c>
      <c r="D72" s="14">
        <f>IFERROR(__xludf.DUMMYFUNCTION("""COMPUTED_VALUE"""),12.0)</f>
        <v>12</v>
      </c>
      <c r="E72" s="199" t="str">
        <f>IFERROR(__xludf.DUMMYFUNCTION("""COMPUTED_VALUE"""),"https://scholar.google.com.br/citations?hl=pt-PT&amp;view_op=list_hcore&amp;venue=kHVE9lQrYc8J.2024")</f>
        <v>https://scholar.google.com.br/citations?hl=pt-PT&amp;view_op=list_hcore&amp;venue=kHVE9lQrYc8J.2024</v>
      </c>
      <c r="F72" s="16"/>
      <c r="G72" s="30"/>
      <c r="H72" s="30"/>
      <c r="I72" s="26"/>
      <c r="J72" s="201"/>
      <c r="K72" s="30"/>
    </row>
    <row r="73">
      <c r="A73" s="68" t="str">
        <f>IFERROR(__xludf.DUMMYFUNCTION("""COMPUTED_VALUE"""),"Eventos da Área")</f>
        <v>Eventos da Área</v>
      </c>
      <c r="B73" s="198" t="str">
        <f>IFERROR(__xludf.DUMMYFUNCTION("""COMPUTED_VALUE"""),"IPMU")</f>
        <v>IPMU</v>
      </c>
      <c r="C73" s="14" t="str">
        <f>IFERROR(__xludf.DUMMYFUNCTION("""COMPUTED_VALUE"""),"International Conference on Information Processing and Management of Uncertainty in Knowledge-Based Systems")</f>
        <v>International Conference on Information Processing and Management of Uncertainty in Knowledge-Based Systems</v>
      </c>
      <c r="D73" s="14">
        <f>IFERROR(__xludf.DUMMYFUNCTION("""COMPUTED_VALUE"""),15.0)</f>
        <v>15</v>
      </c>
      <c r="E73" s="199" t="str">
        <f>IFERROR(__xludf.DUMMYFUNCTION("""COMPUTED_VALUE"""),"https://scholar.google.com.br/citations?hl=pt-PT&amp;view_op=list_hcore&amp;venue=DxTMQsOcxf0J.2024")</f>
        <v>https://scholar.google.com.br/citations?hl=pt-PT&amp;view_op=list_hcore&amp;venue=DxTMQsOcxf0J.2024</v>
      </c>
      <c r="F73" s="16"/>
      <c r="G73" s="30" t="str">
        <f>IFERROR(__xludf.DUMMYFUNCTION("""COMPUTED_VALUE"""),"International Conference on Information Processing and Management of Uncertainty")</f>
        <v>International Conference on Information Processing and Management of Uncertainty</v>
      </c>
      <c r="H73" s="30"/>
      <c r="I73" s="200" t="str">
        <f>IFERROR(__xludf.DUMMYFUNCTION("""COMPUTED_VALUE"""),"https://dblp.org/db/conf/ipmu/index.html")</f>
        <v>https://dblp.org/db/conf/ipmu/index.html</v>
      </c>
      <c r="J73" s="201"/>
      <c r="K73" s="30"/>
    </row>
    <row r="74">
      <c r="A74" s="68" t="str">
        <f>IFERROR(__xludf.DUMMYFUNCTION("""COMPUTED_VALUE"""),"Eventos da Área")</f>
        <v>Eventos da Área</v>
      </c>
      <c r="B74" s="198" t="str">
        <f>IFERROR(__xludf.DUMMYFUNCTION("""COMPUTED_VALUE"""),"ISCON")</f>
        <v>ISCON</v>
      </c>
      <c r="C74" s="14" t="str">
        <f>IFERROR(__xludf.DUMMYFUNCTION("""COMPUTED_VALUE"""),"International Conference on Information Systems and Computer Networks")</f>
        <v>International Conference on Information Systems and Computer Networks</v>
      </c>
      <c r="D74" s="14">
        <f>IFERROR(__xludf.DUMMYFUNCTION("""COMPUTED_VALUE"""),14.0)</f>
        <v>14</v>
      </c>
      <c r="E74" s="199" t="str">
        <f>IFERROR(__xludf.DUMMYFUNCTION("""COMPUTED_VALUE"""),"https://scholar.google.com.br/citations?hl=pt-PT&amp;view_op=list_hcore&amp;venue=E623cbW5qKIJ.2024")</f>
        <v>https://scholar.google.com.br/citations?hl=pt-PT&amp;view_op=list_hcore&amp;venue=E623cbW5qKIJ.2024</v>
      </c>
      <c r="F74" s="16"/>
      <c r="G74" s="30"/>
      <c r="H74" s="30"/>
      <c r="I74" s="26"/>
      <c r="J74" s="201"/>
      <c r="K74" s="30"/>
    </row>
    <row r="75">
      <c r="A75" s="68" t="str">
        <f>IFERROR(__xludf.DUMMYFUNCTION("""COMPUTED_VALUE"""),"Eventos da Área")</f>
        <v>Eventos da Área</v>
      </c>
      <c r="B75" s="198" t="str">
        <f>IFERROR(__xludf.DUMMYFUNCTION("""COMPUTED_VALUE"""),"CONTECSI")</f>
        <v>CONTECSI</v>
      </c>
      <c r="C75" s="14" t="str">
        <f>IFERROR(__xludf.DUMMYFUNCTION("""COMPUTED_VALUE"""),"International Conference on Information Systems and Technology Management")</f>
        <v>International Conference on Information Systems and Technology Management</v>
      </c>
      <c r="D75" s="14">
        <f>IFERROR(__xludf.DUMMYFUNCTION("""COMPUTED_VALUE"""),5.0)</f>
        <v>5</v>
      </c>
      <c r="E75" s="199" t="str">
        <f>IFERROR(__xludf.DUMMYFUNCTION("""COMPUTED_VALUE"""),"https://scholar.google.com/scholar?hl=pt-BR&amp;as_sdt=0%2C5&amp;as_ylo=2020&amp;as_yhi=2024&amp;q=%22International+Conference+on+Information+Systems+and+Technology+Management%22&amp;btnG=")</f>
        <v>https://scholar.google.com/scholar?hl=pt-BR&amp;as_sdt=0%2C5&amp;as_ylo=2020&amp;as_yhi=2024&amp;q=%22International+Conference+on+Information+Systems+and+Technology+Management%22&amp;btnG=</v>
      </c>
      <c r="F75" s="16"/>
      <c r="G75" s="30"/>
      <c r="H75" s="30"/>
      <c r="I75" s="26"/>
      <c r="J75" s="201"/>
      <c r="K75" s="30"/>
    </row>
    <row r="76">
      <c r="A76" s="68" t="str">
        <f>IFERROR(__xludf.DUMMYFUNCTION("""COMPUTED_VALUE"""),"Eventos da Área")</f>
        <v>Eventos da Área</v>
      </c>
      <c r="B76" s="198" t="str">
        <f>IFERROR(__xludf.DUMMYFUNCTION("""COMPUTED_VALUE"""),"ISD")</f>
        <v>ISD</v>
      </c>
      <c r="C76" s="14" t="str">
        <f>IFERROR(__xludf.DUMMYFUNCTION("""COMPUTED_VALUE"""),"International Conference on Information Systems Development")</f>
        <v>International Conference on Information Systems Development</v>
      </c>
      <c r="D76" s="14">
        <f>IFERROR(__xludf.DUMMYFUNCTION("""COMPUTED_VALUE"""),13.0)</f>
        <v>13</v>
      </c>
      <c r="E76" s="199" t="str">
        <f>IFERROR(__xludf.DUMMYFUNCTION("""COMPUTED_VALUE"""),"https://scholar.google.com.br/citations?hl=pt-PT&amp;view_op=list_hcore&amp;venue=IXwBVJe3Y30J.2024")</f>
        <v>https://scholar.google.com.br/citations?hl=pt-PT&amp;view_op=list_hcore&amp;venue=IXwBVJe3Y30J.2024</v>
      </c>
      <c r="F76" s="16"/>
      <c r="G76" s="30"/>
      <c r="H76" s="30"/>
      <c r="I76" s="200" t="str">
        <f>IFERROR(__xludf.DUMMYFUNCTION("""COMPUTED_VALUE"""),"https://dblp.org/db/conf/isdevel/index.html")</f>
        <v>https://dblp.org/db/conf/isdevel/index.html</v>
      </c>
      <c r="J76" s="201"/>
      <c r="K76" s="30"/>
    </row>
    <row r="77">
      <c r="A77" s="68" t="str">
        <f>IFERROR(__xludf.DUMMYFUNCTION("""COMPUTED_VALUE"""),"Eventos da Área")</f>
        <v>Eventos da Área</v>
      </c>
      <c r="B77" s="198" t="str">
        <f>IFERROR(__xludf.DUMMYFUNCTION("""COMPUTED_VALUE"""),"ICIT")</f>
        <v>ICIT</v>
      </c>
      <c r="C77" s="14" t="str">
        <f>IFERROR(__xludf.DUMMYFUNCTION("""COMPUTED_VALUE"""),"International Conference on Information Technology")</f>
        <v>International Conference on Information Technology</v>
      </c>
      <c r="D77" s="14">
        <f>IFERROR(__xludf.DUMMYFUNCTION("""COMPUTED_VALUE"""),23.0)</f>
        <v>23</v>
      </c>
      <c r="E77" s="199" t="str">
        <f>IFERROR(__xludf.DUMMYFUNCTION("""COMPUTED_VALUE"""),"https://scholar.google.com.br/citations?hl=pt-PT&amp;view_op=list_hcore&amp;venue=LumpKNGPVQMJ.2024")</f>
        <v>https://scholar.google.com.br/citations?hl=pt-PT&amp;view_op=list_hcore&amp;venue=LumpKNGPVQMJ.2024</v>
      </c>
      <c r="F77" s="16"/>
      <c r="G77" s="30"/>
      <c r="H77" s="30"/>
      <c r="I77" s="200" t="str">
        <f>IFERROR(__xludf.DUMMYFUNCTION("""COMPUTED_VALUE"""),"https://dblp.org/db/conf/icit/index.html")</f>
        <v>https://dblp.org/db/conf/icit/index.html</v>
      </c>
      <c r="J77" s="201"/>
      <c r="K77" s="30"/>
    </row>
    <row r="78">
      <c r="A78" s="68" t="str">
        <f>IFERROR(__xludf.DUMMYFUNCTION("""COMPUTED_VALUE"""),"Eventos da Área")</f>
        <v>Eventos da Área</v>
      </c>
      <c r="B78" s="198" t="str">
        <f>IFERROR(__xludf.DUMMYFUNCTION("""COMPUTED_VALUE"""),"ICITS")</f>
        <v>ICITS</v>
      </c>
      <c r="C78" s="14" t="str">
        <f>IFERROR(__xludf.DUMMYFUNCTION("""COMPUTED_VALUE"""),"International Conference on Information Technology &amp; Systems")</f>
        <v>International Conference on Information Technology &amp; Systems</v>
      </c>
      <c r="D78" s="14">
        <f>IFERROR(__xludf.DUMMYFUNCTION("""COMPUTED_VALUE"""),16.0)</f>
        <v>16</v>
      </c>
      <c r="E78" s="199" t="str">
        <f>IFERROR(__xludf.DUMMYFUNCTION("""COMPUTED_VALUE"""),"https://scholar.google.com.br/citations?hl=pt-PT&amp;view_op=list_hcore&amp;venue=DX1aBBbAiv8J.2024 ")</f>
        <v>https://scholar.google.com.br/citations?hl=pt-PT&amp;view_op=list_hcore&amp;venue=DX1aBBbAiv8J.2024 </v>
      </c>
      <c r="F78" s="16"/>
      <c r="G78" s="30"/>
      <c r="H78" s="30"/>
      <c r="I78" s="26"/>
      <c r="J78" s="201"/>
      <c r="K78" s="30"/>
    </row>
    <row r="79">
      <c r="A79" s="68" t="str">
        <f>IFERROR(__xludf.DUMMYFUNCTION("""COMPUTED_VALUE"""),"Eventos da Área")</f>
        <v>Eventos da Área</v>
      </c>
      <c r="B79" s="198" t="str">
        <f>IFERROR(__xludf.DUMMYFUNCTION("""COMPUTED_VALUE"""),"INTECH")</f>
        <v>INTECH</v>
      </c>
      <c r="C79" s="14" t="str">
        <f>IFERROR(__xludf.DUMMYFUNCTION("""COMPUTED_VALUE"""),"International Conference on Innovative Computing Technology")</f>
        <v>International Conference on Innovative Computing Technology</v>
      </c>
      <c r="D79" s="14">
        <f>IFERROR(__xludf.DUMMYFUNCTION("""COMPUTED_VALUE"""),15.0)</f>
        <v>15</v>
      </c>
      <c r="E79" s="199" t="str">
        <f>IFERROR(__xludf.DUMMYFUNCTION("""COMPUTED_VALUE"""),"https://scholar.google.com/scholar?q=International+Conference+on+Innovative+Computing+Technology&amp;hl=pt-BR&amp;as_sdt=0%2C5&amp;as_ylo=2020&amp;as_yhi=2024")</f>
        <v>https://scholar.google.com/scholar?q=International+Conference+on+Innovative+Computing+Technology&amp;hl=pt-BR&amp;as_sdt=0%2C5&amp;as_ylo=2020&amp;as_yhi=2024</v>
      </c>
      <c r="F79" s="16"/>
      <c r="G79" s="30"/>
      <c r="H79" s="30"/>
      <c r="I79" s="26"/>
      <c r="J79" s="201"/>
      <c r="K79" s="30"/>
    </row>
    <row r="80">
      <c r="A80" s="68" t="str">
        <f>IFERROR(__xludf.DUMMYFUNCTION("""COMPUTED_VALUE"""),"Eventos da Área")</f>
        <v>Eventos da Área</v>
      </c>
      <c r="B80" s="198" t="str">
        <f>IFERROR(__xludf.DUMMYFUNCTION("""COMPUTED_VALUE"""),"CICLing")</f>
        <v>CICLing</v>
      </c>
      <c r="C80" s="14" t="str">
        <f>IFERROR(__xludf.DUMMYFUNCTION("""COMPUTED_VALUE"""),"International Conference on Intelligent Text Processing and Computational Linguistics")</f>
        <v>International Conference on Intelligent Text Processing and Computational Linguistics</v>
      </c>
      <c r="D80" s="14">
        <f>IFERROR(__xludf.DUMMYFUNCTION("""COMPUTED_VALUE"""),49.0)</f>
        <v>49</v>
      </c>
      <c r="E80" s="199" t="str">
        <f>IFERROR(__xludf.DUMMYFUNCTION("""COMPUTED_VALUE"""),"https://scholar.google.com/scholar?q=International+Conference+on+Intelligent+Text+Processing+and+Computational+Linguistics&amp;hl=pt-BR&amp;as_sdt=0%2C5&amp;as_ylo=2020&amp;as_yhi=2024")</f>
        <v>https://scholar.google.com/scholar?q=International+Conference+on+Intelligent+Text+Processing+and+Computational+Linguistics&amp;hl=pt-BR&amp;as_sdt=0%2C5&amp;as_ylo=2020&amp;as_yhi=2024</v>
      </c>
      <c r="F80" s="16"/>
      <c r="G80" s="30"/>
      <c r="H80" s="30"/>
      <c r="I80" s="200" t="str">
        <f>IFERROR(__xludf.DUMMYFUNCTION("""COMPUTED_VALUE"""),"https://dblp.org/db/conf/cicling/index.html")</f>
        <v>https://dblp.org/db/conf/cicling/index.html</v>
      </c>
      <c r="J80" s="201"/>
      <c r="K80" s="30"/>
    </row>
    <row r="81">
      <c r="A81" s="68" t="str">
        <f>IFERROR(__xludf.DUMMYFUNCTION("""COMPUTED_VALUE"""),"Eventos da Área")</f>
        <v>Eventos da Área</v>
      </c>
      <c r="B81" s="198" t="str">
        <f>IFERROR(__xludf.DUMMYFUNCTION("""COMPUTED_VALUE"""),"KESW")</f>
        <v>KESW</v>
      </c>
      <c r="C81" s="14" t="str">
        <f>IFERROR(__xludf.DUMMYFUNCTION("""COMPUTED_VALUE"""),"International Conference on Knowledge Engineering and Semantic Web")</f>
        <v>International Conference on Knowledge Engineering and Semantic Web</v>
      </c>
      <c r="D81" s="14">
        <f>IFERROR(__xludf.DUMMYFUNCTION("""COMPUTED_VALUE"""),37.0)</f>
        <v>37</v>
      </c>
      <c r="E81" s="199" t="str">
        <f>IFERROR(__xludf.DUMMYFUNCTION("""COMPUTED_VALUE"""),"https://scholar.google.com/scholar?q=International+Conference+on+Knowledge+Engineering+and+Semantic+Web&amp;hl=pt-BR&amp;as_sdt=0,5&amp;as_ylo=2020&amp;as_yhi=2024")</f>
        <v>https://scholar.google.com/scholar?q=International+Conference+on+Knowledge+Engineering+and+Semantic+Web&amp;hl=pt-BR&amp;as_sdt=0,5&amp;as_ylo=2020&amp;as_yhi=2024</v>
      </c>
      <c r="F81" s="16"/>
      <c r="G81" s="30"/>
      <c r="H81" s="30"/>
      <c r="I81" s="200" t="str">
        <f>IFERROR(__xludf.DUMMYFUNCTION("""COMPUTED_VALUE"""),"https://dblp.org/db/conf/kesw/index.html")</f>
        <v>https://dblp.org/db/conf/kesw/index.html</v>
      </c>
      <c r="J81" s="201"/>
      <c r="K81" s="30"/>
    </row>
    <row r="82">
      <c r="A82" s="68" t="str">
        <f>IFERROR(__xludf.DUMMYFUNCTION("""COMPUTED_VALUE"""),"Eventos da Área")</f>
        <v>Eventos da Área</v>
      </c>
      <c r="B82" s="198" t="str">
        <f>IFERROR(__xludf.DUMMYFUNCTION("""COMPUTED_VALUE"""),"KMO")</f>
        <v>KMO</v>
      </c>
      <c r="C82" s="14" t="str">
        <f>IFERROR(__xludf.DUMMYFUNCTION("""COMPUTED_VALUE"""),"International Conference on Knowledge Management in Organizations")</f>
        <v>International Conference on Knowledge Management in Organizations</v>
      </c>
      <c r="D82" s="14">
        <f>IFERROR(__xludf.DUMMYFUNCTION("""COMPUTED_VALUE"""),12.0)</f>
        <v>12</v>
      </c>
      <c r="E82" s="199" t="str">
        <f>IFERROR(__xludf.DUMMYFUNCTION("""COMPUTED_VALUE"""),"https://scholar.google.com.br/citations?hl=pt-PT&amp;view_op=list_hcore&amp;venue=-yAq_nHfnI0J.2024 ")</f>
        <v>https://scholar.google.com.br/citations?hl=pt-PT&amp;view_op=list_hcore&amp;venue=-yAq_nHfnI0J.2024 </v>
      </c>
      <c r="F82" s="16"/>
      <c r="G82" s="30"/>
      <c r="H82" s="30"/>
      <c r="I82" s="200" t="str">
        <f>IFERROR(__xludf.DUMMYFUNCTION("""COMPUTED_VALUE"""),"https://dblp.org/db/conf/kmo/index.html")</f>
        <v>https://dblp.org/db/conf/kmo/index.html</v>
      </c>
      <c r="J82" s="201"/>
      <c r="K82" s="30"/>
    </row>
    <row r="83">
      <c r="A83" s="68" t="str">
        <f>IFERROR(__xludf.DUMMYFUNCTION("""COMPUTED_VALUE"""),"Eventos da Área")</f>
        <v>Eventos da Área</v>
      </c>
      <c r="B83" s="198" t="str">
        <f>IFERROR(__xludf.DUMMYFUNCTION("""COMPUTED_VALUE"""),"KES")</f>
        <v>KES</v>
      </c>
      <c r="C83" s="14" t="str">
        <f>IFERROR(__xludf.DUMMYFUNCTION("""COMPUTED_VALUE"""),"International Conference on Knowledge-Based and Intelligent Information &amp; Engineering Systems")</f>
        <v>International Conference on Knowledge-Based and Intelligent Information &amp; Engineering Systems</v>
      </c>
      <c r="D83" s="14">
        <f>IFERROR(__xludf.DUMMYFUNCTION("""COMPUTED_VALUE"""),2.0)</f>
        <v>2</v>
      </c>
      <c r="E83" s="199" t="str">
        <f>IFERROR(__xludf.DUMMYFUNCTION("""COMPUTED_VALUE"""),"https://scholar.google.com.br/scholar?q=source%3AInternational+source%3AConference+source%3Aon+source%3AKnowledge-Based+source%3Aand+source%3AIntelligent+source%3AInformation+source%3A%26+source%3AEngineering+source%3ASystems&amp;hl=pt-BR&amp;as_sdt=0%2C5&amp;as_ylo="&amp;"2020&amp;as_yhi=2024")</f>
        <v>https://scholar.google.com.br/scholar?q=source%3AInternational+source%3AConference+source%3Aon+source%3AKnowledge-Based+source%3Aand+source%3AIntelligent+source%3AInformation+source%3A%26+source%3AEngineering+source%3ASystems&amp;hl=pt-BR&amp;as_sdt=0%2C5&amp;as_ylo=2020&amp;as_yhi=2024</v>
      </c>
      <c r="F83" s="16"/>
      <c r="G83" s="30"/>
      <c r="H83" s="30"/>
      <c r="I83" s="200" t="str">
        <f>IFERROR(__xludf.DUMMYFUNCTION("""COMPUTED_VALUE"""),"https://dblp.org/db/conf/kes/index.html")</f>
        <v>https://dblp.org/db/conf/kes/index.html</v>
      </c>
      <c r="J83" s="201"/>
      <c r="K83" s="30"/>
    </row>
    <row r="84">
      <c r="A84" s="68" t="str">
        <f>IFERROR(__xludf.DUMMYFUNCTION("""COMPUTED_VALUE"""),"Eventos da Área")</f>
        <v>Eventos da Área</v>
      </c>
      <c r="B84" s="198" t="str">
        <f>IFERROR(__xludf.DUMMYFUNCTION("""COMPUTED_VALUE"""),"JURIX")</f>
        <v>JURIX</v>
      </c>
      <c r="C84" s="14" t="str">
        <f>IFERROR(__xludf.DUMMYFUNCTION("""COMPUTED_VALUE"""),"International Conference on Legal Knowledge and Information Systems")</f>
        <v>International Conference on Legal Knowledge and Information Systems</v>
      </c>
      <c r="D84" s="14">
        <f>IFERROR(__xludf.DUMMYFUNCTION("""COMPUTED_VALUE"""),15.0)</f>
        <v>15</v>
      </c>
      <c r="E84" s="199" t="str">
        <f>IFERROR(__xludf.DUMMYFUNCTION("""COMPUTED_VALUE"""),"https://scholar.google.com.br/citations?hl=pt-PT&amp;view_op=list_hcore&amp;venue=hTnzOl0B1DQJ.2024")</f>
        <v>https://scholar.google.com.br/citations?hl=pt-PT&amp;view_op=list_hcore&amp;venue=hTnzOl0B1DQJ.2024</v>
      </c>
      <c r="F84" s="16"/>
      <c r="G84" s="30"/>
      <c r="H84" s="30"/>
      <c r="I84" s="200" t="str">
        <f>IFERROR(__xludf.DUMMYFUNCTION("""COMPUTED_VALUE"""),"https://dblp.org/db/conf/jurix/index.html")</f>
        <v>https://dblp.org/db/conf/jurix/index.html</v>
      </c>
      <c r="J84" s="201"/>
      <c r="K84" s="30"/>
    </row>
    <row r="85">
      <c r="A85" s="68" t="str">
        <f>IFERROR(__xludf.DUMMYFUNCTION("""COMPUTED_VALUE"""),"Eventos da Área")</f>
        <v>Eventos da Área</v>
      </c>
      <c r="B85" s="198" t="str">
        <f>IFERROR(__xludf.DUMMYFUNCTION("""COMPUTED_VALUE"""),"MEDES")</f>
        <v>MEDES</v>
      </c>
      <c r="C85" s="14" t="str">
        <f>IFERROR(__xludf.DUMMYFUNCTION("""COMPUTED_VALUE"""),"International Conference on Management of Digital EcoSystems")</f>
        <v>International Conference on Management of Digital EcoSystems</v>
      </c>
      <c r="D85" s="14">
        <f>IFERROR(__xludf.DUMMYFUNCTION("""COMPUTED_VALUE"""),12.0)</f>
        <v>12</v>
      </c>
      <c r="E85" s="199" t="str">
        <f>IFERROR(__xludf.DUMMYFUNCTION("""COMPUTED_VALUE"""),"https://scholar.google.com.br/citations?hl=pt-PT&amp;view_op=list_hcore&amp;venue=8r87ioMWSPAJ.2024")</f>
        <v>https://scholar.google.com.br/citations?hl=pt-PT&amp;view_op=list_hcore&amp;venue=8r87ioMWSPAJ.2024</v>
      </c>
      <c r="F85" s="16"/>
      <c r="G85" s="30"/>
      <c r="H85" s="30"/>
      <c r="I85" s="200" t="str">
        <f>IFERROR(__xludf.DUMMYFUNCTION("""COMPUTED_VALUE"""),"https://dblp.org/db/conf/medes/index.html")</f>
        <v>https://dblp.org/db/conf/medes/index.html</v>
      </c>
      <c r="J85" s="201"/>
      <c r="K85" s="30"/>
    </row>
    <row r="86">
      <c r="A86" s="68" t="str">
        <f>IFERROR(__xludf.DUMMYFUNCTION("""COMPUTED_VALUE"""),"Eventos da Área")</f>
        <v>Eventos da Área</v>
      </c>
      <c r="B86" s="198" t="str">
        <f>IFERROR(__xludf.DUMMYFUNCTION("""COMPUTED_VALUE"""),"NISS")</f>
        <v>NISS</v>
      </c>
      <c r="C86" s="14" t="str">
        <f>IFERROR(__xludf.DUMMYFUNCTION("""COMPUTED_VALUE"""),"International Conference on Networking, Information Systems &amp; Security")</f>
        <v>International Conference on Networking, Information Systems &amp; Security</v>
      </c>
      <c r="D86" s="14">
        <f>IFERROR(__xludf.DUMMYFUNCTION("""COMPUTED_VALUE"""),15.0)</f>
        <v>15</v>
      </c>
      <c r="E86" s="199" t="str">
        <f>IFERROR(__xludf.DUMMYFUNCTION("""COMPUTED_VALUE"""),"https://scholar.google.com.br/citations?hl=pt-PT&amp;view_op=list_hcore&amp;venue=-dXCJGbxPbsJ.2024")</f>
        <v>https://scholar.google.com.br/citations?hl=pt-PT&amp;view_op=list_hcore&amp;venue=-dXCJGbxPbsJ.2024</v>
      </c>
      <c r="F86" s="16"/>
      <c r="G86" s="30"/>
      <c r="H86" s="30"/>
      <c r="I86" s="200" t="str">
        <f>IFERROR(__xludf.DUMMYFUNCTION("""COMPUTED_VALUE"""),"https://dblp.org/db/conf/niss/index.html")</f>
        <v>https://dblp.org/db/conf/niss/index.html</v>
      </c>
      <c r="J86" s="201"/>
      <c r="K86" s="30"/>
    </row>
    <row r="87">
      <c r="A87" s="68" t="str">
        <f>IFERROR(__xludf.DUMMYFUNCTION("""COMPUTED_VALUE"""),"Eventos da Área")</f>
        <v>Eventos da Área</v>
      </c>
      <c r="B87" s="198" t="str">
        <f>IFERROR(__xludf.DUMMYFUNCTION("""COMPUTED_VALUE"""),"RCIS")</f>
        <v>RCIS</v>
      </c>
      <c r="C87" s="14" t="str">
        <f>IFERROR(__xludf.DUMMYFUNCTION("""COMPUTED_VALUE"""),"International Conference on Research Challenges in Information Science")</f>
        <v>International Conference on Research Challenges in Information Science</v>
      </c>
      <c r="D87" s="14">
        <f>IFERROR(__xludf.DUMMYFUNCTION("""COMPUTED_VALUE"""),18.0)</f>
        <v>18</v>
      </c>
      <c r="E87" s="199" t="str">
        <f>IFERROR(__xludf.DUMMYFUNCTION("""COMPUTED_VALUE"""),"https://scholar.google.com.br/citations?hl=pt-PT&amp;view_op=list_hcore&amp;venue=yxUYnK6YD7QJ.2024")</f>
        <v>https://scholar.google.com.br/citations?hl=pt-PT&amp;view_op=list_hcore&amp;venue=yxUYnK6YD7QJ.2024</v>
      </c>
      <c r="F87" s="16"/>
      <c r="G87" s="30"/>
      <c r="H87" s="30"/>
      <c r="I87" s="200" t="str">
        <f>IFERROR(__xludf.DUMMYFUNCTION("""COMPUTED_VALUE"""),"https://dblp.org/db/conf/rcis/index.html")</f>
        <v>https://dblp.org/db/conf/rcis/index.html</v>
      </c>
      <c r="J87" s="201"/>
      <c r="K87" s="30"/>
    </row>
    <row r="88">
      <c r="A88" s="68" t="str">
        <f>IFERROR(__xludf.DUMMYFUNCTION("""COMPUTED_VALUE"""),"Eventos da Área")</f>
        <v>Eventos da Área</v>
      </c>
      <c r="B88" s="198" t="str">
        <f>IFERROR(__xludf.DUMMYFUNCTION("""COMPUTED_VALUE"""),"ICSC")</f>
        <v>ICSC</v>
      </c>
      <c r="C88" s="14" t="str">
        <f>IFERROR(__xludf.DUMMYFUNCTION("""COMPUTED_VALUE"""),"International Conference on Semantic Computing")</f>
        <v>International Conference on Semantic Computing</v>
      </c>
      <c r="D88" s="14">
        <f>IFERROR(__xludf.DUMMYFUNCTION("""COMPUTED_VALUE"""),22.0)</f>
        <v>22</v>
      </c>
      <c r="E88" s="199" t="str">
        <f>IFERROR(__xludf.DUMMYFUNCTION("""COMPUTED_VALUE"""),"https://scholar.google.com.br/citations?hl=pt-PT&amp;view_op=list_hcore&amp;venue=xo4pTqxCvn8J.2024")</f>
        <v>https://scholar.google.com.br/citations?hl=pt-PT&amp;view_op=list_hcore&amp;venue=xo4pTqxCvn8J.2024</v>
      </c>
      <c r="F88" s="16"/>
      <c r="G88" s="30"/>
      <c r="H88" s="30"/>
      <c r="I88" s="200" t="str">
        <f>IFERROR(__xludf.DUMMYFUNCTION("""COMPUTED_VALUE"""),"https://dblp.org/db/conf/icsc/index.html")</f>
        <v>https://dblp.org/db/conf/icsc/index.html</v>
      </c>
      <c r="J88" s="201"/>
      <c r="K88" s="30"/>
    </row>
    <row r="89">
      <c r="A89" s="68" t="str">
        <f>IFERROR(__xludf.DUMMYFUNCTION("""COMPUTED_VALUE"""),"Eventos da Área")</f>
        <v>Eventos da Área</v>
      </c>
      <c r="B89" s="198" t="str">
        <f>IFERROR(__xludf.DUMMYFUNCTION("""COMPUTED_VALUE"""),"SOCIALCOM")</f>
        <v>SOCIALCOM</v>
      </c>
      <c r="C89" s="14" t="str">
        <f>IFERROR(__xludf.DUMMYFUNCTION("""COMPUTED_VALUE"""),"International Conference on Social Computing")</f>
        <v>International Conference on Social Computing</v>
      </c>
      <c r="D89" s="14">
        <f>IFERROR(__xludf.DUMMYFUNCTION("""COMPUTED_VALUE"""),10.0)</f>
        <v>10</v>
      </c>
      <c r="E89" s="199" t="str">
        <f>IFERROR(__xludf.DUMMYFUNCTION("""COMPUTED_VALUE"""),"https://scholar.google.com/scholar?hl=pt-BR&amp;as_sdt=0%2C5&amp;as_ylo=2020&amp;as_yhi=2024&amp;q=%22IEEE+International+Conference+on+Social+Computing+%28SocialCom%29%22&amp;btnG=")</f>
        <v>https://scholar.google.com/scholar?hl=pt-BR&amp;as_sdt=0%2C5&amp;as_ylo=2020&amp;as_yhi=2024&amp;q=%22IEEE+International+Conference+on+Social+Computing+%28SocialCom%29%22&amp;btnG=</v>
      </c>
      <c r="F89" s="16"/>
      <c r="G89" s="30"/>
      <c r="H89" s="30" t="str">
        <f>IFERROR(__xludf.DUMMYFUNCTION("""COMPUTED_VALUE"""),"IEEE International Conference on Social Computing (SocialCom)")</f>
        <v>IEEE International Conference on Social Computing (SocialCom)</v>
      </c>
      <c r="I89" s="200" t="str">
        <f>IFERROR(__xludf.DUMMYFUNCTION("""COMPUTED_VALUE"""),"https://dblp.org/db/conf/socialcom/index.html")</f>
        <v>https://dblp.org/db/conf/socialcom/index.html</v>
      </c>
      <c r="J89" s="201"/>
      <c r="K89" s="30"/>
    </row>
    <row r="90">
      <c r="A90" s="68" t="str">
        <f>IFERROR(__xludf.DUMMYFUNCTION("""COMPUTED_VALUE"""),"Eventos da Área")</f>
        <v>Eventos da Área</v>
      </c>
      <c r="B90" s="198" t="str">
        <f>IFERROR(__xludf.DUMMYFUNCTION("""COMPUTED_VALUE"""),"SOCINFO")</f>
        <v>SOCINFO</v>
      </c>
      <c r="C90" s="14" t="str">
        <f>IFERROR(__xludf.DUMMYFUNCTION("""COMPUTED_VALUE"""),"International Conference on Social Informatics")</f>
        <v>International Conference on Social Informatics</v>
      </c>
      <c r="D90" s="14">
        <f>IFERROR(__xludf.DUMMYFUNCTION("""COMPUTED_VALUE"""),8.0)</f>
        <v>8</v>
      </c>
      <c r="E90" s="199" t="str">
        <f>IFERROR(__xludf.DUMMYFUNCTION("""COMPUTED_VALUE"""),"https://scholar.google.com/scholar?q=%22International+Conference+on+Social+Informatics%22&amp;hl=pt-BR&amp;as_sdt=0,5&amp;as_ylo=2020&amp;as_yhi=2024")</f>
        <v>https://scholar.google.com/scholar?q=%22International+Conference+on+Social+Informatics%22&amp;hl=pt-BR&amp;as_sdt=0,5&amp;as_ylo=2020&amp;as_yhi=2024</v>
      </c>
      <c r="F90" s="16"/>
      <c r="G90" s="30"/>
      <c r="H90" s="30"/>
      <c r="I90" s="200" t="str">
        <f>IFERROR(__xludf.DUMMYFUNCTION("""COMPUTED_VALUE"""),"https://dblp.org/db/conf/socinfo/index.html")</f>
        <v>https://dblp.org/db/conf/socinfo/index.html</v>
      </c>
      <c r="J90" s="201"/>
      <c r="K90" s="30"/>
    </row>
    <row r="91">
      <c r="A91" s="68" t="str">
        <f>IFERROR(__xludf.DUMMYFUNCTION("""COMPUTED_VALUE"""),"Eventos da Área")</f>
        <v>Eventos da Área</v>
      </c>
      <c r="B91" s="198" t="str">
        <f>IFERROR(__xludf.DUMMYFUNCTION("""COMPUTED_VALUE"""),"ICSOB")</f>
        <v>ICSOB</v>
      </c>
      <c r="C91" s="14" t="str">
        <f>IFERROR(__xludf.DUMMYFUNCTION("""COMPUTED_VALUE"""),"International Conference on Software Business")</f>
        <v>International Conference on Software Business</v>
      </c>
      <c r="D91" s="14">
        <f>IFERROR(__xludf.DUMMYFUNCTION("""COMPUTED_VALUE"""),11.0)</f>
        <v>11</v>
      </c>
      <c r="E91" s="199" t="str">
        <f>IFERROR(__xludf.DUMMYFUNCTION("""COMPUTED_VALUE"""),"https://scholar.google.com.br/citations?hl=pt-PT&amp;view_op=list_hcore&amp;venue=lySJ7rWrE4EJ.2024")</f>
        <v>https://scholar.google.com.br/citations?hl=pt-PT&amp;view_op=list_hcore&amp;venue=lySJ7rWrE4EJ.2024</v>
      </c>
      <c r="F91" s="16"/>
      <c r="G91" s="30"/>
      <c r="H91" s="30"/>
      <c r="I91" s="200" t="str">
        <f>IFERROR(__xludf.DUMMYFUNCTION("""COMPUTED_VALUE"""),"https://dblp.org/db/conf/icsob/index.html")</f>
        <v>https://dblp.org/db/conf/icsob/index.html</v>
      </c>
      <c r="J91" s="201"/>
      <c r="K91" s="30"/>
    </row>
    <row r="92">
      <c r="A92" s="68" t="str">
        <f>IFERROR(__xludf.DUMMYFUNCTION("""COMPUTED_VALUE"""),"Eventos da Área")</f>
        <v>Eventos da Área</v>
      </c>
      <c r="B92" s="198" t="str">
        <f>IFERROR(__xludf.DUMMYFUNCTION("""COMPUTED_VALUE"""),"PROPOR")</f>
        <v>PROPOR</v>
      </c>
      <c r="C92" s="14" t="str">
        <f>IFERROR(__xludf.DUMMYFUNCTION("""COMPUTED_VALUE"""),"International Conference on the Computational Processing of Portuguese")</f>
        <v>International Conference on the Computational Processing of Portuguese</v>
      </c>
      <c r="D92" s="14">
        <f>IFERROR(__xludf.DUMMYFUNCTION("""COMPUTED_VALUE"""),7.0)</f>
        <v>7</v>
      </c>
      <c r="E92" s="199" t="str">
        <f>IFERROR(__xludf.DUMMYFUNCTION("""COMPUTED_VALUE"""),"https://scholar.google.com/scholar?hl=pt-BR&amp;as_sdt=0%2C5&amp;as_ylo=2020&amp;as_yhi=2024&amp;q=%22International+Conference+on+the+Computational+Processing+of+Portuguese%22&amp;btnG=")</f>
        <v>https://scholar.google.com/scholar?hl=pt-BR&amp;as_sdt=0%2C5&amp;as_ylo=2020&amp;as_yhi=2024&amp;q=%22International+Conference+on+the+Computational+Processing+of+Portuguese%22&amp;btnG=</v>
      </c>
      <c r="F92" s="16"/>
      <c r="G92" s="30"/>
      <c r="H92" s="30"/>
      <c r="I92" s="200" t="str">
        <f>IFERROR(__xludf.DUMMYFUNCTION("""COMPUTED_VALUE"""),"https://dblp.org/db/conf/propor/index.html")</f>
        <v>https://dblp.org/db/conf/propor/index.html</v>
      </c>
      <c r="J92" s="201"/>
      <c r="K92" s="30"/>
    </row>
    <row r="93">
      <c r="A93" s="68" t="str">
        <f>IFERROR(__xludf.DUMMYFUNCTION("""COMPUTED_VALUE"""),"Eventos da Área")</f>
        <v>Eventos da Área</v>
      </c>
      <c r="B93" s="198" t="str">
        <f>IFERROR(__xludf.DUMMYFUNCTION("""COMPUTED_VALUE"""),"ICEGOV")</f>
        <v>ICEGOV</v>
      </c>
      <c r="C93" s="14" t="str">
        <f>IFERROR(__xludf.DUMMYFUNCTION("""COMPUTED_VALUE"""),"International Conference on Theory and Practice of Eletronic Governance")</f>
        <v>International Conference on Theory and Practice of Eletronic Governance</v>
      </c>
      <c r="D93" s="14">
        <f>IFERROR(__xludf.DUMMYFUNCTION("""COMPUTED_VALUE"""),19.0)</f>
        <v>19</v>
      </c>
      <c r="E93" s="199" t="str">
        <f>IFERROR(__xludf.DUMMYFUNCTION("""COMPUTED_VALUE"""),"https://scholar.google.com.br/citations?hl=pt-PT&amp;view_op=list_hcore&amp;venue=CvhnNEBhA8sJ.2024")</f>
        <v>https://scholar.google.com.br/citations?hl=pt-PT&amp;view_op=list_hcore&amp;venue=CvhnNEBhA8sJ.2024</v>
      </c>
      <c r="F93" s="16"/>
      <c r="G93" s="30"/>
      <c r="H93" s="30"/>
      <c r="I93" s="200" t="str">
        <f>IFERROR(__xludf.DUMMYFUNCTION("""COMPUTED_VALUE"""),"https://dblp.org/db/conf/icegov/index.html")</f>
        <v>https://dblp.org/db/conf/icegov/index.html</v>
      </c>
      <c r="J93" s="201"/>
      <c r="K93" s="30"/>
    </row>
    <row r="94">
      <c r="A94" s="68" t="str">
        <f>IFERROR(__xludf.DUMMYFUNCTION("""COMPUTED_VALUE"""),"Eventos da Área")</f>
        <v>Eventos da Área</v>
      </c>
      <c r="B94" s="198" t="str">
        <f>IFERROR(__xludf.DUMMYFUNCTION("""COMPUTED_VALUE"""),"UMAP")</f>
        <v>UMAP</v>
      </c>
      <c r="C94" s="14" t="str">
        <f>IFERROR(__xludf.DUMMYFUNCTION("""COMPUTED_VALUE"""),"International Conference on User Modeling, Adaptation and Personalization")</f>
        <v>International Conference on User Modeling, Adaptation and Personalization</v>
      </c>
      <c r="D94" s="14">
        <f>IFERROR(__xludf.DUMMYFUNCTION("""COMPUTED_VALUE"""),28.0)</f>
        <v>28</v>
      </c>
      <c r="E94" s="199" t="str">
        <f>IFERROR(__xludf.DUMMYFUNCTION("""COMPUTED_VALUE"""),"https://scholar.google.com.br/citations?hl=pt-PT&amp;view_op=list_hcore&amp;venue=jtXTIwcBWV8J.2024")</f>
        <v>https://scholar.google.com.br/citations?hl=pt-PT&amp;view_op=list_hcore&amp;venue=jtXTIwcBWV8J.2024</v>
      </c>
      <c r="F94" s="16"/>
      <c r="G94" s="30" t="str">
        <f>IFERROR(__xludf.DUMMYFUNCTION("""COMPUTED_VALUE"""),"ACM Conference on User Modeling, Adaptation and Personalization")</f>
        <v>ACM Conference on User Modeling, Adaptation and Personalization</v>
      </c>
      <c r="H94" s="30" t="str">
        <f>IFERROR(__xludf.DUMMYFUNCTION("""COMPUTED_VALUE"""),"International Conference on User Modeling (UM)")</f>
        <v>International Conference on User Modeling (UM)</v>
      </c>
      <c r="I94" s="200" t="str">
        <f>IFERROR(__xludf.DUMMYFUNCTION("""COMPUTED_VALUE"""),"https://dblp.org/db/conf/um/index.html")</f>
        <v>https://dblp.org/db/conf/um/index.html</v>
      </c>
      <c r="J94" s="201"/>
      <c r="K94" s="30"/>
    </row>
    <row r="95">
      <c r="A95" s="68" t="str">
        <f>IFERROR(__xludf.DUMMYFUNCTION("""COMPUTED_VALUE"""),"Eventos da Área")</f>
        <v>Eventos da Área</v>
      </c>
      <c r="B95" s="202" t="str">
        <f>IFERROR(__xludf.DUMMYFUNCTION("""COMPUTED_VALUE"""),"ICWSM")</f>
        <v>ICWSM</v>
      </c>
      <c r="C95" s="14" t="str">
        <f>IFERROR(__xludf.DUMMYFUNCTION("""COMPUTED_VALUE"""),"International Conference on Web and Social Media")</f>
        <v>International Conference on Web and Social Media</v>
      </c>
      <c r="D95" s="14">
        <f>IFERROR(__xludf.DUMMYFUNCTION("""COMPUTED_VALUE"""),59.0)</f>
        <v>59</v>
      </c>
      <c r="E95" s="199" t="str">
        <f>IFERROR(__xludf.DUMMYFUNCTION("""COMPUTED_VALUE"""),"https://scholar.google.com.br/citations?hl=pt-PT&amp;view_op=list_hcore&amp;venue=eH4qSzdbVtwJ.2024")</f>
        <v>https://scholar.google.com.br/citations?hl=pt-PT&amp;view_op=list_hcore&amp;venue=eH4qSzdbVtwJ.2024</v>
      </c>
      <c r="F95" s="16"/>
      <c r="G95" s="30"/>
      <c r="H95" s="30"/>
      <c r="I95" s="200" t="str">
        <f>IFERROR(__xludf.DUMMYFUNCTION("""COMPUTED_VALUE"""),"https://dblp.org/db/conf/icwsm/index.html")</f>
        <v>https://dblp.org/db/conf/icwsm/index.html</v>
      </c>
      <c r="J95" s="201"/>
      <c r="K95" s="30"/>
    </row>
    <row r="96">
      <c r="A96" s="68" t="str">
        <f>IFERROR(__xludf.DUMMYFUNCTION("""COMPUTED_VALUE"""),"Eventos da Área")</f>
        <v>Eventos da Área</v>
      </c>
      <c r="B96" s="198" t="str">
        <f>IFERROR(__xludf.DUMMYFUNCTION("""COMPUTED_VALUE"""),"ICWE")</f>
        <v>ICWE</v>
      </c>
      <c r="C96" s="14" t="str">
        <f>IFERROR(__xludf.DUMMYFUNCTION("""COMPUTED_VALUE"""),"International Conference on Web Engineering")</f>
        <v>International Conference on Web Engineering</v>
      </c>
      <c r="D96" s="14">
        <f>IFERROR(__xludf.DUMMYFUNCTION("""COMPUTED_VALUE"""),16.0)</f>
        <v>16</v>
      </c>
      <c r="E96" s="199" t="str">
        <f>IFERROR(__xludf.DUMMYFUNCTION("""COMPUTED_VALUE"""),"https://scholar.google.com.br/citations?hl=pt-PT&amp;view_op=list_hcore&amp;venue=I8L8xmsrq2EJ.2024")</f>
        <v>https://scholar.google.com.br/citations?hl=pt-PT&amp;view_op=list_hcore&amp;venue=I8L8xmsrq2EJ.2024</v>
      </c>
      <c r="F96" s="16"/>
      <c r="G96" s="30"/>
      <c r="H96" s="30"/>
      <c r="I96" s="200" t="str">
        <f>IFERROR(__xludf.DUMMYFUNCTION("""COMPUTED_VALUE"""),"https://dblp.org/db/conf/icwe/index.html")</f>
        <v>https://dblp.org/db/conf/icwe/index.html</v>
      </c>
      <c r="J96" s="201"/>
      <c r="K96" s="30"/>
    </row>
    <row r="97">
      <c r="A97" s="68" t="str">
        <f>IFERROR(__xludf.DUMMYFUNCTION("""COMPUTED_VALUE"""),"Eventos da Área")</f>
        <v>Eventos da Área</v>
      </c>
      <c r="B97" s="198" t="str">
        <f>IFERROR(__xludf.DUMMYFUNCTION("""COMPUTED_VALUE"""),"IC3K")</f>
        <v>IC3K</v>
      </c>
      <c r="C97" s="14" t="str">
        <f>IFERROR(__xludf.DUMMYFUNCTION("""COMPUTED_VALUE"""),"International Joint Conference on Knowledge Discovery, Knowledge Engineering and Knowledge Management")</f>
        <v>International Joint Conference on Knowledge Discovery, Knowledge Engineering and Knowledge Management</v>
      </c>
      <c r="D97" s="14">
        <f>IFERROR(__xludf.DUMMYFUNCTION("""COMPUTED_VALUE"""),10.0)</f>
        <v>10</v>
      </c>
      <c r="E97" s="199" t="str">
        <f>IFERROR(__xludf.DUMMYFUNCTION("""COMPUTED_VALUE"""),"https://scholar.google.com.br/citations?hl=pt-PT&amp;view_op=list_hcore&amp;venue=vt63wi0KkScJ.2024")</f>
        <v>https://scholar.google.com.br/citations?hl=pt-PT&amp;view_op=list_hcore&amp;venue=vt63wi0KkScJ.2024</v>
      </c>
      <c r="F97" s="16"/>
      <c r="G97" s="30"/>
      <c r="H97" s="30"/>
      <c r="I97" s="200" t="str">
        <f>IFERROR(__xludf.DUMMYFUNCTION("""COMPUTED_VALUE"""),"https://dblp.org/db/conf/ic3k/index.html")</f>
        <v>https://dblp.org/db/conf/ic3k/index.html</v>
      </c>
      <c r="J97" s="201"/>
      <c r="K97" s="30"/>
    </row>
    <row r="98">
      <c r="A98" s="68" t="str">
        <f>IFERROR(__xludf.DUMMYFUNCTION("""COMPUTED_VALUE"""),"Eventos da Área")</f>
        <v>Eventos da Área</v>
      </c>
      <c r="B98" s="198" t="str">
        <f>IFERROR(__xludf.DUMMYFUNCTION("""COMPUTED_VALUE"""),"Middleware")</f>
        <v>Middleware</v>
      </c>
      <c r="C98" s="14" t="str">
        <f>IFERROR(__xludf.DUMMYFUNCTION("""COMPUTED_VALUE"""),"International Middleware Conference")</f>
        <v>International Middleware Conference</v>
      </c>
      <c r="D98" s="14">
        <f>IFERROR(__xludf.DUMMYFUNCTION("""COMPUTED_VALUE"""),22.0)</f>
        <v>22</v>
      </c>
      <c r="E98" s="199" t="str">
        <f>IFERROR(__xludf.DUMMYFUNCTION("""COMPUTED_VALUE"""),"https://scholar.google.com.br/citations?hl=pt-PT&amp;view_op=list_hcore&amp;venue=NA4iP0Rm0toJ.2024")</f>
        <v>https://scholar.google.com.br/citations?hl=pt-PT&amp;view_op=list_hcore&amp;venue=NA4iP0Rm0toJ.2024</v>
      </c>
      <c r="F98" s="16"/>
      <c r="G98" s="30"/>
      <c r="H98" s="30"/>
      <c r="I98" s="200" t="str">
        <f>IFERROR(__xludf.DUMMYFUNCTION("""COMPUTED_VALUE"""),"https://dblp.org/db/conf/middleware/index.html")</f>
        <v>https://dblp.org/db/conf/middleware/index.html</v>
      </c>
      <c r="J98" s="201"/>
      <c r="K98" s="30"/>
    </row>
    <row r="99">
      <c r="A99" s="68" t="str">
        <f>IFERROR(__xludf.DUMMYFUNCTION("""COMPUTED_VALUE"""),"Eventos da Área")</f>
        <v>Eventos da Área</v>
      </c>
      <c r="B99" s="198" t="str">
        <f>IFERROR(__xludf.DUMMYFUNCTION("""COMPUTED_VALUE"""),"ISCIS")</f>
        <v>ISCIS</v>
      </c>
      <c r="C99" s="14" t="str">
        <f>IFERROR(__xludf.DUMMYFUNCTION("""COMPUTED_VALUE"""),"International Symposium on Computer and Information Sciences")</f>
        <v>International Symposium on Computer and Information Sciences</v>
      </c>
      <c r="D99" s="14">
        <f>IFERROR(__xludf.DUMMYFUNCTION("""COMPUTED_VALUE"""),12.0)</f>
        <v>12</v>
      </c>
      <c r="E99" s="199" t="str">
        <f>IFERROR(__xludf.DUMMYFUNCTION("""COMPUTED_VALUE"""),"https://scholar.google.com/scholar?q=%22International+Symposium+on+Computer+and+Information+Sciences%22&amp;hl=pt-BR&amp;as_sdt=0%2C5&amp;as_ylo=2020&amp;as_yhi=2024")</f>
        <v>https://scholar.google.com/scholar?q=%22International+Symposium+on+Computer+and+Information+Sciences%22&amp;hl=pt-BR&amp;as_sdt=0%2C5&amp;as_ylo=2020&amp;as_yhi=2024</v>
      </c>
      <c r="F99" s="16"/>
      <c r="G99" s="30"/>
      <c r="H99" s="30"/>
      <c r="I99" s="200" t="str">
        <f>IFERROR(__xludf.DUMMYFUNCTION("""COMPUTED_VALUE"""),"https://dblp.org/db/conf/iscis/index.html")</f>
        <v>https://dblp.org/db/conf/iscis/index.html</v>
      </c>
      <c r="J99" s="201"/>
      <c r="K99" s="30"/>
    </row>
    <row r="100">
      <c r="A100" s="68" t="str">
        <f>IFERROR(__xludf.DUMMYFUNCTION("""COMPUTED_VALUE"""),"Eventos da Área")</f>
        <v>Eventos da Área</v>
      </c>
      <c r="B100" s="198" t="str">
        <f>IFERROR(__xludf.DUMMYFUNCTION("""COMPUTED_VALUE"""),"SoWeMi")</f>
        <v>SoWeMi</v>
      </c>
      <c r="C100" s="14" t="str">
        <f>IFERROR(__xludf.DUMMYFUNCTION("""COMPUTED_VALUE"""),"International Workshop on Mining the Social Web")</f>
        <v>International Workshop on Mining the Social Web</v>
      </c>
      <c r="D100" s="14">
        <f>IFERROR(__xludf.DUMMYFUNCTION("""COMPUTED_VALUE"""),3.0)</f>
        <v>3</v>
      </c>
      <c r="E100" s="199" t="str">
        <f>IFERROR(__xludf.DUMMYFUNCTION("""COMPUTED_VALUE"""),"https://scholar.google.com/scholar?q=%22International+Workshop+on+Mining+the+Social+Web%22&amp;hl=pt-BR&amp;as_sdt=0%2C5&amp;as_ylo=&amp;as_yhi=2024")</f>
        <v>https://scholar.google.com/scholar?q=%22International+Workshop+on+Mining+the+Social+Web%22&amp;hl=pt-BR&amp;as_sdt=0%2C5&amp;as_ylo=&amp;as_yhi=2024</v>
      </c>
      <c r="F100" s="16"/>
      <c r="G100" s="30"/>
      <c r="H100" s="30"/>
      <c r="I100" s="26"/>
      <c r="J100" s="201"/>
      <c r="K100" s="30"/>
    </row>
    <row r="101">
      <c r="A101" s="68" t="str">
        <f>IFERROR(__xludf.DUMMYFUNCTION("""COMPUTED_VALUE"""),"Eventos da Área")</f>
        <v>Eventos da Área</v>
      </c>
      <c r="B101" s="202" t="str">
        <f>IFERROR(__xludf.DUMMYFUNCTION("""COMPUTED_VALUE"""),"IWSECO")</f>
        <v>IWSECO</v>
      </c>
      <c r="C101" s="14" t="str">
        <f>IFERROR(__xludf.DUMMYFUNCTION("""COMPUTED_VALUE"""),"International Workshop on Software Ecosystems")</f>
        <v>International Workshop on Software Ecosystems</v>
      </c>
      <c r="D101" s="14">
        <f>IFERROR(__xludf.DUMMYFUNCTION("""COMPUTED_VALUE"""),9.0)</f>
        <v>9</v>
      </c>
      <c r="E101" s="199" t="str">
        <f>IFERROR(__xludf.DUMMYFUNCTION("""COMPUTED_VALUE"""),"https://scholar.google.com.br/scholar?q=%22International+Workshop+on+Software+Ecosystems%22&amp;hl=pt-BR&amp;as_sdt=0%2C5&amp;as_ylo=2020&amp;as_yhi=2024")</f>
        <v>https://scholar.google.com.br/scholar?q=%22International+Workshop+on+Software+Ecosystems%22&amp;hl=pt-BR&amp;as_sdt=0%2C5&amp;as_ylo=2020&amp;as_yhi=2024</v>
      </c>
      <c r="F101" s="16"/>
      <c r="G101" s="30"/>
      <c r="H101" s="30"/>
      <c r="I101" s="200" t="str">
        <f>IFERROR(__xludf.DUMMYFUNCTION("""COMPUTED_VALUE"""),"https://dblp.org/db/conf/iwseco/index.html")</f>
        <v>https://dblp.org/db/conf/iwseco/index.html</v>
      </c>
      <c r="J101" s="201"/>
      <c r="K101" s="30"/>
    </row>
    <row r="102">
      <c r="A102" t="str">
        <f>IFERROR(__xludf.DUMMYFUNCTION("""COMPUTED_VALUE"""),"Eventos da Área")</f>
        <v>Eventos da Área</v>
      </c>
      <c r="B102" s="198" t="str">
        <f>IFERROR(__xludf.DUMMYFUNCTION("""COMPUTED_VALUE"""),"SESoS")</f>
        <v>SESoS</v>
      </c>
      <c r="C102" s="14" t="str">
        <f>IFERROR(__xludf.DUMMYFUNCTION("""COMPUTED_VALUE"""),"International Workshop on Software Engineering for Systems-of-Systems and Software Ecosystems")</f>
        <v>International Workshop on Software Engineering for Systems-of-Systems and Software Ecosystems</v>
      </c>
      <c r="D102" s="14">
        <f>IFERROR(__xludf.DUMMYFUNCTION("""COMPUTED_VALUE"""),5.0)</f>
        <v>5</v>
      </c>
      <c r="E102" s="199" t="str">
        <f>IFERROR(__xludf.DUMMYFUNCTION("""COMPUTED_VALUE"""),"https://scholar.google.com.br/scholar?q=source%3AInternational+source%3AWorkshop+source%3Aon+source%3ASoftware+source%3AEngineering+source%3Afor+source%3ASystems-of-Systems+source%3Aand+source%3ASoftware+source%3AEcosystems&amp;hl=pt-BR&amp;as_sdt=0%2C5&amp;as_ylo=20"&amp;"20&amp;as_yhi=2024")</f>
        <v>https://scholar.google.com.br/scholar?q=source%3AInternational+source%3AWorkshop+source%3Aon+source%3ASoftware+source%3AEngineering+source%3Afor+source%3ASystems-of-Systems+source%3Aand+source%3ASoftware+source%3AEcosystems&amp;hl=pt-BR&amp;as_sdt=0%2C5&amp;as_ylo=2020&amp;as_yhi=2024</v>
      </c>
      <c r="F102" s="16"/>
      <c r="G102" s="30"/>
      <c r="H102" s="30"/>
      <c r="I102" s="200" t="str">
        <f>IFERROR(__xludf.DUMMYFUNCTION("""COMPUTED_VALUE"""),"https://dblp.org/db/conf/sessos/index.html")</f>
        <v>https://dblp.org/db/conf/sessos/index.html</v>
      </c>
      <c r="J102" s="201"/>
      <c r="K102" s="30"/>
    </row>
    <row r="103">
      <c r="A103" t="str">
        <f>IFERROR(__xludf.DUMMYFUNCTION("""COMPUTED_VALUE"""),"Eventos da Área")</f>
        <v>Eventos da Área</v>
      </c>
      <c r="B103" s="198" t="str">
        <f>IFERROR(__xludf.DUMMYFUNCTION("""COMPUTED_VALUE"""),"PACIS")</f>
        <v>PACIS</v>
      </c>
      <c r="C103" s="14" t="str">
        <f>IFERROR(__xludf.DUMMYFUNCTION("""COMPUTED_VALUE"""),"Pacific Asia Conference on Information Systems")</f>
        <v>Pacific Asia Conference on Information Systems</v>
      </c>
      <c r="D103" s="14">
        <f>IFERROR(__xludf.DUMMYFUNCTION("""COMPUTED_VALUE"""),24.0)</f>
        <v>24</v>
      </c>
      <c r="E103" s="199" t="str">
        <f>IFERROR(__xludf.DUMMYFUNCTION("""COMPUTED_VALUE"""),"https://scholar.google.com.br/citations?hl=pt-BR&amp;view_op=list_hcore&amp;venue=CY_aqjanJeoJ.2024")</f>
        <v>https://scholar.google.com.br/citations?hl=pt-BR&amp;view_op=list_hcore&amp;venue=CY_aqjanJeoJ.2024</v>
      </c>
      <c r="F103" s="16"/>
      <c r="G103" s="30"/>
      <c r="H103" s="30"/>
      <c r="I103" s="200" t="str">
        <f>IFERROR(__xludf.DUMMYFUNCTION("""COMPUTED_VALUE"""),"https://dblp.org/db/conf/pacis/index.html")</f>
        <v>https://dblp.org/db/conf/pacis/index.html</v>
      </c>
      <c r="J103" s="201"/>
      <c r="K103" s="30"/>
    </row>
    <row r="104">
      <c r="A104" t="str">
        <f>IFERROR(__xludf.DUMMYFUNCTION("""COMPUTED_VALUE"""),"Eventos da Área")</f>
        <v>Eventos da Área</v>
      </c>
      <c r="B104" s="203" t="str">
        <f>IFERROR(__xludf.DUMMYFUNCTION("""COMPUTED_VALUE"""),"SBTI")</f>
        <v>SBTI</v>
      </c>
      <c r="C104" s="14" t="str">
        <f>IFERROR(__xludf.DUMMYFUNCTION("""COMPUTED_VALUE"""),"Simpósio Brasileiro de Tecnologia da Informação")</f>
        <v>Simpósio Brasileiro de Tecnologia da Informação</v>
      </c>
      <c r="D104" s="14">
        <f>IFERROR(__xludf.DUMMYFUNCTION("""COMPUTED_VALUE"""),3.0)</f>
        <v>3</v>
      </c>
      <c r="E104" s="199" t="str">
        <f>IFERROR(__xludf.DUMMYFUNCTION("""COMPUTED_VALUE"""),"https://scholar.google.com/scholar?q=%22Simp%C3%B3sio+Brasileiro+de+Tecnologia+da+Informa%C3%A7%C3%A3o%22&amp;hl=pt-BR&amp;as_sdt=0%2C5&amp;as_ylo=2020&amp;as_yhi=2024")</f>
        <v>https://scholar.google.com/scholar?q=%22Simp%C3%B3sio+Brasileiro+de+Tecnologia+da+Informa%C3%A7%C3%A3o%22&amp;hl=pt-BR&amp;as_sdt=0%2C5&amp;as_ylo=2020&amp;as_yhi=2024</v>
      </c>
      <c r="F104" s="16"/>
      <c r="G104" s="30"/>
      <c r="H104" s="30"/>
      <c r="I104" s="26"/>
      <c r="J104" s="201"/>
      <c r="K104" s="30"/>
    </row>
    <row r="105">
      <c r="A105" t="str">
        <f>IFERROR(__xludf.DUMMYFUNCTION("""COMPUTED_VALUE"""),"Eventos da Área")</f>
        <v>Eventos da Área</v>
      </c>
      <c r="B105" s="203" t="str">
        <f>IFERROR(__xludf.DUMMYFUNCTION("""COMPUTED_VALUE"""),"IHC")</f>
        <v>IHC</v>
      </c>
      <c r="C105" s="14" t="str">
        <f>IFERROR(__xludf.DUMMYFUNCTION("""COMPUTED_VALUE"""),"Simpósio Brasileiro sobre Fatores Humanos em Sistemas Computacionais")</f>
        <v>Simpósio Brasileiro sobre Fatores Humanos em Sistemas Computacionais</v>
      </c>
      <c r="D105" s="14">
        <f>IFERROR(__xludf.DUMMYFUNCTION("""COMPUTED_VALUE"""),11.0)</f>
        <v>11</v>
      </c>
      <c r="E105" s="199" t="str">
        <f>IFERROR(__xludf.DUMMYFUNCTION("""COMPUTED_VALUE"""),"https://scholar.google.com.br/citations?hl=pt-PT&amp;view_op=list_hcore&amp;venue=jyopF_8JEZIJ.2024")</f>
        <v>https://scholar.google.com.br/citations?hl=pt-PT&amp;view_op=list_hcore&amp;venue=jyopF_8JEZIJ.2024</v>
      </c>
      <c r="F105" s="16"/>
      <c r="G105" s="30"/>
      <c r="H105" s="30"/>
      <c r="I105" s="200" t="str">
        <f>IFERROR(__xludf.DUMMYFUNCTION("""COMPUTED_VALUE"""),"https://dblp.org/db/conf/ihc/index.html")</f>
        <v>https://dblp.org/db/conf/ihc/index.html</v>
      </c>
      <c r="J105" s="201" t="str">
        <f>IFERROR(__xludf.DUMMYFUNCTION("""COMPUTED_VALUE"""),"https://sol.sbc.org.br/index.php/ihc/issue/archive")</f>
        <v>https://sol.sbc.org.br/index.php/ihc/issue/archive</v>
      </c>
      <c r="K105" s="30"/>
    </row>
    <row r="106">
      <c r="A106" t="str">
        <f>IFERROR(__xludf.DUMMYFUNCTION("""COMPUTED_VALUE"""),"Eventos da Área")</f>
        <v>Eventos da Área</v>
      </c>
      <c r="B106" s="203" t="str">
        <f>IFERROR(__xludf.DUMMYFUNCTION("""COMPUTED_VALUE"""),"WEBSCI")</f>
        <v>WEBSCI</v>
      </c>
      <c r="C106" s="198" t="str">
        <f>IFERROR(__xludf.DUMMYFUNCTION("""COMPUTED_VALUE"""),"Web Science Conference")</f>
        <v>Web Science Conference</v>
      </c>
      <c r="D106" s="198">
        <f>IFERROR(__xludf.DUMMYFUNCTION("""COMPUTED_VALUE"""),30.0)</f>
        <v>30</v>
      </c>
      <c r="E106" s="199" t="str">
        <f>IFERROR(__xludf.DUMMYFUNCTION("""COMPUTED_VALUE"""),"https://scholar.google.com.br/citations?hl=pt-PT&amp;view_op=list_hcore&amp;venue=bjjY0KRB7JIJ.2024")</f>
        <v>https://scholar.google.com.br/citations?hl=pt-PT&amp;view_op=list_hcore&amp;venue=bjjY0KRB7JIJ.2024</v>
      </c>
      <c r="F106" s="198"/>
      <c r="G106" s="198"/>
      <c r="H106" s="198" t="str">
        <f>IFERROR(__xludf.DUMMYFUNCTION("""COMPUTED_VALUE"""),"ACM Web Science Conference")</f>
        <v>ACM Web Science Conference</v>
      </c>
      <c r="I106" s="206" t="str">
        <f>IFERROR(__xludf.DUMMYFUNCTION("""COMPUTED_VALUE"""),"https://dblp.org/db/conf/websci/index.html")</f>
        <v>https://dblp.org/db/conf/websci/index.html</v>
      </c>
      <c r="J106" s="120"/>
      <c r="K106" s="120"/>
    </row>
    <row r="107">
      <c r="A107" t="str">
        <f>IFERROR(__xludf.DUMMYFUNCTION("""COMPUTED_VALUE"""),"Eventos da Área")</f>
        <v>Eventos da Área</v>
      </c>
      <c r="B107" s="207" t="str">
        <f>IFERROR(__xludf.DUMMYFUNCTION("""COMPUTED_VALUE"""),"WCAMA")</f>
        <v>WCAMA</v>
      </c>
      <c r="C107" s="198" t="str">
        <f>IFERROR(__xludf.DUMMYFUNCTION("""COMPUTED_VALUE"""),"Workshop de Computação Aplicada à Gestão do Meio Ambiente e Recursos Naturais")</f>
        <v>Workshop de Computação Aplicada à Gestão do Meio Ambiente e Recursos Naturais</v>
      </c>
      <c r="D107" s="198">
        <f>IFERROR(__xludf.DUMMYFUNCTION("""COMPUTED_VALUE"""),0.0)</f>
        <v>0</v>
      </c>
      <c r="E107" s="199" t="str">
        <f>IFERROR(__xludf.DUMMYFUNCTION("""COMPUTED_VALUE"""),"https://scholar.google.com.br/scholar?q=%22Workshop+de+Computa%C3%A7%C3%A3o+Aplicada+%C3%A0+Gest%C3%A3o+do+Meio+Ambiente+e+Recursos+Naturais%22&amp;hl=pt-BR&amp;as_sdt=0%2C5&amp;as_ylo=2020&amp;as_yhi=2024")</f>
        <v>https://scholar.google.com.br/scholar?q=%22Workshop+de+Computa%C3%A7%C3%A3o+Aplicada+%C3%A0+Gest%C3%A3o+do+Meio+Ambiente+e+Recursos+Naturais%22&amp;hl=pt-BR&amp;as_sdt=0%2C5&amp;as_ylo=2020&amp;as_yhi=2024</v>
      </c>
      <c r="F107" s="198"/>
      <c r="G107" s="198"/>
      <c r="H107" s="198"/>
      <c r="I107" s="198"/>
      <c r="J107" s="206" t="str">
        <f>IFERROR(__xludf.DUMMYFUNCTION("""COMPUTED_VALUE"""),"https://sol.sbc.org.br/index.php/wcama/issue/archive")</f>
        <v>https://sol.sbc.org.br/index.php/wcama/issue/archive</v>
      </c>
      <c r="K107" s="120"/>
    </row>
    <row r="108">
      <c r="A108" t="str">
        <f>IFERROR(__xludf.DUMMYFUNCTION("""COMPUTED_VALUE"""),"Eventos da Área")</f>
        <v>Eventos da Área</v>
      </c>
      <c r="B108" s="172" t="str">
        <f>IFERROR(__xludf.DUMMYFUNCTION("""COMPUTED_VALUE"""),"WCGE")</f>
        <v>WCGE</v>
      </c>
      <c r="C108" s="172" t="str">
        <f>IFERROR(__xludf.DUMMYFUNCTION("""COMPUTED_VALUE"""),"Workshop de Computação Aplicada em Governo Eletrônico")</f>
        <v>Workshop de Computação Aplicada em Governo Eletrônico</v>
      </c>
      <c r="D108" s="172">
        <f>IFERROR(__xludf.DUMMYFUNCTION("""COMPUTED_VALUE"""),5.0)</f>
        <v>5</v>
      </c>
      <c r="E108" s="199" t="str">
        <f>IFERROR(__xludf.DUMMYFUNCTION("""COMPUTED_VALUE"""),"https://scholar.google.com/scholar?hl=pt-BR&amp;as_sdt=0%2C5&amp;as_ylo=2020&amp;as_yhi=2024&amp;q=%22Workshop+de+Computa%C3%A7%C3%A3o+Aplicada+em+Governo+Eletr%C3%B4nico%22&amp;btnG=")</f>
        <v>https://scholar.google.com/scholar?hl=pt-BR&amp;as_sdt=0%2C5&amp;as_ylo=2020&amp;as_yhi=2024&amp;q=%22Workshop+de+Computa%C3%A7%C3%A3o+Aplicada+em+Governo+Eletr%C3%B4nico%22&amp;btnG=</v>
      </c>
      <c r="F108" s="172"/>
      <c r="G108" s="172"/>
      <c r="H108" s="120"/>
      <c r="I108" s="120"/>
      <c r="J108" s="208" t="str">
        <f>IFERROR(__xludf.DUMMYFUNCTION("""COMPUTED_VALUE"""),"https://sol.sbc.org.br/index.php/wcge/issue/archive")</f>
        <v>https://sol.sbc.org.br/index.php/wcge/issue/archive</v>
      </c>
      <c r="K108" s="120"/>
    </row>
    <row r="109">
      <c r="A109" t="str">
        <f>IFERROR(__xludf.DUMMYFUNCTION("""COMPUTED_VALUE"""),"Eventos da Área")</f>
        <v>Eventos da Área</v>
      </c>
      <c r="B109" t="str">
        <f>IFERROR(__xludf.DUMMYFUNCTION("""COMPUTED_VALUE"""),"BPMS2")</f>
        <v>BPMS2</v>
      </c>
      <c r="C109" t="str">
        <f>IFERROR(__xludf.DUMMYFUNCTION("""COMPUTED_VALUE"""),"Workshop on Social and Human Aspects of Business Process Management")</f>
        <v>Workshop on Social and Human Aspects of Business Process Management</v>
      </c>
      <c r="D109">
        <f>IFERROR(__xludf.DUMMYFUNCTION("""COMPUTED_VALUE"""),3.0)</f>
        <v>3</v>
      </c>
      <c r="E109" s="199" t="str">
        <f>IFERROR(__xludf.DUMMYFUNCTION("""COMPUTED_VALUE"""),"https://scholar.google.com.br/scholar?q=%22Workshop+on+Social+and+Human+Aspects+of+Business+Process+Management%22&amp;hl=pt-BR&amp;as_sdt=0%2C5&amp;as_ylo=2020&amp;as_yhi=2024")</f>
        <v>https://scholar.google.com.br/scholar?q=%22Workshop+on+Social+and+Human+Aspects+of+Business+Process+Management%22&amp;hl=pt-BR&amp;as_sdt=0%2C5&amp;as_ylo=2020&amp;as_yhi=2024</v>
      </c>
      <c r="I109" s="60" t="str">
        <f>IFERROR(__xludf.DUMMYFUNCTION("""COMPUTED_VALUE"""),"https://dblp.org/db/conf/bpm/bpmw2022.html")</f>
        <v>https://dblp.org/db/conf/bpm/bpmw2022.html</v>
      </c>
    </row>
    <row r="110">
      <c r="A110" t="str">
        <f>IFERROR(__xludf.DUMMYFUNCTION("""COMPUTED_VALUE"""),"Eventos da Área")</f>
        <v>Eventos da Área</v>
      </c>
      <c r="B110" t="str">
        <f>IFERROR(__xludf.DUMMYFUNCTION("""COMPUTED_VALUE"""),"CISIM")</f>
        <v>CISIM</v>
      </c>
      <c r="C110" t="str">
        <f>IFERROR(__xludf.DUMMYFUNCTION("""COMPUTED_VALUE"""),"International Conference on Computer Information Systems and Industrial Management")</f>
        <v>International Conference on Computer Information Systems and Industrial Management</v>
      </c>
      <c r="D110">
        <f>IFERROR(__xludf.DUMMYFUNCTION("""COMPUTED_VALUE"""),6.0)</f>
        <v>6</v>
      </c>
      <c r="E110" s="199" t="str">
        <f>IFERROR(__xludf.DUMMYFUNCTION("""COMPUTED_VALUE"""),"https://scholar.google.com/scholar?hl=pt-BR&amp;as_sdt=0%2C5&amp;as_ylo=2020&amp;as_yhi=2024&amp;q=%22International+Conference+on+Computer+Information+Systems+and+Industrial+Management%22&amp;btnG=")</f>
        <v>https://scholar.google.com/scholar?hl=pt-BR&amp;as_sdt=0%2C5&amp;as_ylo=2020&amp;as_yhi=2024&amp;q=%22International+Conference+on+Computer+Information+Systems+and+Industrial+Management%22&amp;btnG=</v>
      </c>
      <c r="I110" s="60" t="str">
        <f>IFERROR(__xludf.DUMMYFUNCTION("""COMPUTED_VALUE"""),"https://dblp.org/db/conf/cisim/index.html")</f>
        <v>https://dblp.org/db/conf/cisim/index.html</v>
      </c>
    </row>
    <row r="111">
      <c r="A111" t="str">
        <f>IFERROR(__xludf.DUMMYFUNCTION("""COMPUTED_VALUE"""),"Eventos da Área")</f>
        <v>Eventos da Área</v>
      </c>
      <c r="B111" t="str">
        <f>IFERROR(__xludf.DUMMYFUNCTION("""COMPUTED_VALUE"""),"WESAAC")</f>
        <v>WESAAC</v>
      </c>
      <c r="C111" t="str">
        <f>IFERROR(__xludf.DUMMYFUNCTION("""COMPUTED_VALUE"""),"Workshop-School on Agents, Environments, and Applications")</f>
        <v>Workshop-School on Agents, Environments, and Applications</v>
      </c>
      <c r="D111">
        <f>IFERROR(__xludf.DUMMYFUNCTION("""COMPUTED_VALUE"""),3.0)</f>
        <v>3</v>
      </c>
      <c r="E111" s="199" t="str">
        <f>IFERROR(__xludf.DUMMYFUNCTION("""COMPUTED_VALUE"""),"https://scholar.google.com/scholar?hl=pt-BR&amp;as_sdt=0%2C5&amp;as_ylo=2020&amp;as_yhi=2024&amp;q=%22Workshop-School+on+Agents%2C+Environments%2C+and+Applications%22&amp;btnG=")</f>
        <v>https://scholar.google.com/scholar?hl=pt-BR&amp;as_sdt=0%2C5&amp;as_ylo=2020&amp;as_yhi=2024&amp;q=%22Workshop-School+on+Agents%2C+Environments%2C+and+Applications%22&amp;btnG=</v>
      </c>
      <c r="H111" t="str">
        <f>IFERROR(__xludf.DUMMYFUNCTION("""COMPUTED_VALUE"""),"Workshop-Escola de Sistemas de Agentes, seus Ambientes e Aplicações")</f>
        <v>Workshop-Escola de Sistemas de Agentes, seus Ambientes e Aplicações</v>
      </c>
    </row>
    <row r="112">
      <c r="E112" s="209"/>
    </row>
    <row r="113">
      <c r="E113" s="209"/>
    </row>
    <row r="114">
      <c r="E114" s="209"/>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J9"/>
    <hyperlink r:id="rId18" ref="E10"/>
    <hyperlink r:id="rId19" ref="J10"/>
    <hyperlink r:id="rId20" ref="E11"/>
    <hyperlink r:id="rId21" ref="J11"/>
    <hyperlink r:id="rId22" ref="E12"/>
    <hyperlink r:id="rId23" ref="I12"/>
    <hyperlink r:id="rId24" ref="E13"/>
    <hyperlink r:id="rId25" ref="I13"/>
    <hyperlink r:id="rId26" ref="E14"/>
    <hyperlink r:id="rId27" ref="I14"/>
    <hyperlink r:id="rId28" ref="E15"/>
    <hyperlink r:id="rId29" ref="I15"/>
    <hyperlink r:id="rId30" ref="E16"/>
    <hyperlink r:id="rId31" ref="I16"/>
    <hyperlink r:id="rId32" ref="E17"/>
    <hyperlink r:id="rId33" ref="I17"/>
    <hyperlink r:id="rId34" ref="E18"/>
    <hyperlink r:id="rId35" ref="I18"/>
    <hyperlink r:id="rId36" ref="E19"/>
    <hyperlink r:id="rId37" ref="I19"/>
    <hyperlink r:id="rId38" ref="E20"/>
    <hyperlink r:id="rId39" ref="I20"/>
    <hyperlink r:id="rId40" ref="E21"/>
    <hyperlink r:id="rId41" ref="I21"/>
    <hyperlink r:id="rId42" ref="E22"/>
    <hyperlink r:id="rId43" ref="J22"/>
    <hyperlink r:id="rId44" ref="E23"/>
    <hyperlink r:id="rId45" ref="I23"/>
    <hyperlink r:id="rId46" ref="E24"/>
    <hyperlink r:id="rId47" ref="I24"/>
    <hyperlink r:id="rId48" ref="E25"/>
    <hyperlink r:id="rId49" ref="I25"/>
    <hyperlink r:id="rId50" ref="E26"/>
    <hyperlink r:id="rId51" ref="I26"/>
    <hyperlink r:id="rId52" ref="E27"/>
    <hyperlink r:id="rId53" ref="I27"/>
    <hyperlink r:id="rId54" ref="E28"/>
    <hyperlink r:id="rId55" ref="I28"/>
    <hyperlink r:id="rId56" ref="E29"/>
    <hyperlink r:id="rId57" ref="I29"/>
    <hyperlink r:id="rId58" ref="E30"/>
    <hyperlink r:id="rId59" ref="I30"/>
    <hyperlink r:id="rId60" ref="E31"/>
    <hyperlink r:id="rId61" ref="I31"/>
    <hyperlink r:id="rId62" ref="E32"/>
    <hyperlink r:id="rId63" ref="I32"/>
    <hyperlink r:id="rId64" ref="E33"/>
    <hyperlink r:id="rId65" ref="I33"/>
    <hyperlink r:id="rId66" ref="E34"/>
    <hyperlink r:id="rId67" ref="H34"/>
    <hyperlink r:id="rId68" ref="I34"/>
    <hyperlink r:id="rId69" ref="E35"/>
    <hyperlink r:id="rId70" ref="I35"/>
    <hyperlink r:id="rId71" ref="E36"/>
    <hyperlink r:id="rId72" ref="I36"/>
    <hyperlink r:id="rId73" ref="E37"/>
    <hyperlink r:id="rId74" ref="E38"/>
    <hyperlink r:id="rId75" ref="I38"/>
    <hyperlink r:id="rId76" ref="E39"/>
    <hyperlink r:id="rId77" ref="I39"/>
    <hyperlink r:id="rId78" ref="E40"/>
    <hyperlink r:id="rId79" ref="E41"/>
    <hyperlink r:id="rId80" ref="I41"/>
    <hyperlink r:id="rId81" ref="E42"/>
    <hyperlink r:id="rId82" ref="I42"/>
    <hyperlink r:id="rId83" ref="E43"/>
    <hyperlink r:id="rId84" ref="I43"/>
    <hyperlink r:id="rId85" ref="E44"/>
    <hyperlink r:id="rId86" ref="I44"/>
    <hyperlink r:id="rId87" ref="E45"/>
    <hyperlink r:id="rId88" ref="E46"/>
    <hyperlink r:id="rId89" ref="I46"/>
    <hyperlink r:id="rId90" ref="E47"/>
    <hyperlink r:id="rId91" ref="I47"/>
    <hyperlink r:id="rId92" ref="E48"/>
    <hyperlink r:id="rId93" ref="I48"/>
    <hyperlink r:id="rId94" ref="E49"/>
    <hyperlink r:id="rId95" ref="I49"/>
    <hyperlink r:id="rId96" ref="E50"/>
    <hyperlink r:id="rId97" ref="I50"/>
    <hyperlink r:id="rId98" ref="E51"/>
    <hyperlink r:id="rId99" ref="I51"/>
    <hyperlink r:id="rId100" ref="E52"/>
    <hyperlink r:id="rId101" ref="I52"/>
    <hyperlink r:id="rId102" ref="E53"/>
    <hyperlink r:id="rId103" ref="I53"/>
    <hyperlink r:id="rId104" ref="E54"/>
    <hyperlink r:id="rId105" ref="I54"/>
    <hyperlink r:id="rId106" ref="E55"/>
    <hyperlink r:id="rId107" ref="I55"/>
    <hyperlink r:id="rId108" ref="E56"/>
    <hyperlink r:id="rId109" ref="I56"/>
    <hyperlink r:id="rId110" ref="E57"/>
    <hyperlink r:id="rId111" ref="I57"/>
    <hyperlink r:id="rId112" ref="E58"/>
    <hyperlink r:id="rId113" ref="I58"/>
    <hyperlink r:id="rId114" ref="E59"/>
    <hyperlink r:id="rId115" ref="I59"/>
    <hyperlink r:id="rId116" ref="E60"/>
    <hyperlink r:id="rId117" ref="I60"/>
    <hyperlink r:id="rId118" ref="E61"/>
    <hyperlink r:id="rId119" ref="I61"/>
    <hyperlink r:id="rId120" ref="E62"/>
    <hyperlink r:id="rId121" ref="I62"/>
    <hyperlink r:id="rId122" ref="E63"/>
    <hyperlink r:id="rId123" ref="I63"/>
    <hyperlink r:id="rId124" ref="E64"/>
    <hyperlink r:id="rId125" ref="I64"/>
    <hyperlink r:id="rId126" ref="E65"/>
    <hyperlink r:id="rId127" ref="I65"/>
    <hyperlink r:id="rId128" ref="E66"/>
    <hyperlink r:id="rId129" ref="I66"/>
    <hyperlink r:id="rId130" ref="E67"/>
    <hyperlink r:id="rId131" ref="I67"/>
    <hyperlink r:id="rId132" ref="E68"/>
    <hyperlink r:id="rId133" ref="I68"/>
    <hyperlink r:id="rId134" ref="E69"/>
    <hyperlink r:id="rId135" ref="I69"/>
    <hyperlink r:id="rId136" ref="E70"/>
    <hyperlink r:id="rId137" ref="I70"/>
    <hyperlink r:id="rId138" ref="E71"/>
    <hyperlink r:id="rId139" ref="E72"/>
    <hyperlink r:id="rId140" ref="E73"/>
    <hyperlink r:id="rId141" ref="I73"/>
    <hyperlink r:id="rId142" ref="E74"/>
    <hyperlink r:id="rId143" ref="E75"/>
    <hyperlink r:id="rId144" ref="E76"/>
    <hyperlink r:id="rId145" ref="I76"/>
    <hyperlink r:id="rId146" ref="E77"/>
    <hyperlink r:id="rId147" ref="I77"/>
    <hyperlink r:id="rId148" ref="E78"/>
    <hyperlink r:id="rId149" ref="E79"/>
    <hyperlink r:id="rId150" ref="E80"/>
    <hyperlink r:id="rId151" ref="I80"/>
    <hyperlink r:id="rId152" ref="E81"/>
    <hyperlink r:id="rId153" ref="I81"/>
    <hyperlink r:id="rId154" ref="E82"/>
    <hyperlink r:id="rId155" ref="I82"/>
    <hyperlink r:id="rId156" ref="E83"/>
    <hyperlink r:id="rId157" ref="I83"/>
    <hyperlink r:id="rId158" ref="E84"/>
    <hyperlink r:id="rId159" ref="I84"/>
    <hyperlink r:id="rId160" ref="E85"/>
    <hyperlink r:id="rId161" ref="I85"/>
    <hyperlink r:id="rId162" ref="E86"/>
    <hyperlink r:id="rId163" ref="I86"/>
    <hyperlink r:id="rId164" ref="E87"/>
    <hyperlink r:id="rId165" ref="I87"/>
    <hyperlink r:id="rId166" ref="E88"/>
    <hyperlink r:id="rId167" ref="I88"/>
    <hyperlink r:id="rId168" ref="E89"/>
    <hyperlink r:id="rId169" ref="I89"/>
    <hyperlink r:id="rId170" ref="E90"/>
    <hyperlink r:id="rId171" ref="I90"/>
    <hyperlink r:id="rId172" ref="E91"/>
    <hyperlink r:id="rId173" ref="I91"/>
    <hyperlink r:id="rId174" ref="E92"/>
    <hyperlink r:id="rId175" ref="I92"/>
    <hyperlink r:id="rId176" ref="E93"/>
    <hyperlink r:id="rId177" ref="I93"/>
    <hyperlink r:id="rId178" ref="E94"/>
    <hyperlink r:id="rId179" ref="I94"/>
    <hyperlink r:id="rId180" ref="E95"/>
    <hyperlink r:id="rId181" ref="I95"/>
    <hyperlink r:id="rId182" ref="E96"/>
    <hyperlink r:id="rId183" ref="I96"/>
    <hyperlink r:id="rId184" ref="E97"/>
    <hyperlink r:id="rId185" ref="I97"/>
    <hyperlink r:id="rId186" ref="E98"/>
    <hyperlink r:id="rId187" ref="I98"/>
    <hyperlink r:id="rId188" ref="E99"/>
    <hyperlink r:id="rId189" ref="I99"/>
    <hyperlink r:id="rId190" ref="E100"/>
    <hyperlink r:id="rId191" ref="E101"/>
    <hyperlink r:id="rId192" ref="I101"/>
    <hyperlink r:id="rId193" ref="E102"/>
    <hyperlink r:id="rId194" ref="I102"/>
    <hyperlink r:id="rId195" ref="E103"/>
    <hyperlink r:id="rId196" ref="I103"/>
    <hyperlink r:id="rId197" ref="E104"/>
    <hyperlink r:id="rId198" ref="E105"/>
    <hyperlink r:id="rId199" ref="I105"/>
    <hyperlink r:id="rId200" ref="J105"/>
    <hyperlink r:id="rId201" ref="E106"/>
    <hyperlink r:id="rId202" ref="I106"/>
    <hyperlink r:id="rId203" ref="E107"/>
    <hyperlink r:id="rId204" ref="J107"/>
    <hyperlink r:id="rId205" ref="E108"/>
    <hyperlink r:id="rId206" ref="J108"/>
    <hyperlink r:id="rId207" ref="E109"/>
    <hyperlink r:id="rId208" ref="I109"/>
    <hyperlink r:id="rId209" ref="E110"/>
    <hyperlink r:id="rId210" ref="I110"/>
    <hyperlink r:id="rId211" ref="E111"/>
  </hyperlinks>
  <drawing r:id="rId212"/>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 width="15.38"/>
    <col customWidth="1" min="3" max="3" width="60.63"/>
    <col customWidth="1" min="4" max="4" width="13.13"/>
    <col customWidth="1" min="5" max="5" width="78.88"/>
    <col customWidth="1" min="6" max="6" width="12.75"/>
    <col customWidth="1" min="7" max="7" width="31.38"/>
    <col customWidth="1" min="8" max="8" width="38.25"/>
    <col customWidth="1" min="9" max="9" width="34.13"/>
    <col customWidth="1" min="10" max="10" width="39.63"/>
  </cols>
  <sheetData>
    <row r="1">
      <c r="A1" s="210" t="str">
        <f>IFERROR(__xludf.DUMMYFUNCTION("importrange(""https://docs.google.com/spreadsheets/d/1_M3fLRqwIIxFA2y41HrsZB4EhXI0XPG8MwPgpbtIpZU/edit#gid=1214547820"",""CE-BD!A1:J150"")"),"TOP")</f>
        <v>TOP</v>
      </c>
      <c r="B1" s="210" t="str">
        <f>IFERROR(__xludf.DUMMYFUNCTION("""COMPUTED_VALUE"""),"SIGLA")</f>
        <v>SIGLA</v>
      </c>
      <c r="C1" s="210" t="str">
        <f>IFERROR(__xludf.DUMMYFUNCTION("""COMPUTED_VALUE"""),"NOME")</f>
        <v>NOME</v>
      </c>
      <c r="D1" s="130" t="str">
        <f>IFERROR(__xludf.DUMMYFUNCTION("""COMPUTED_VALUE"""),"H5")</f>
        <v>H5</v>
      </c>
      <c r="E1" s="1"/>
      <c r="F1" s="21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212" t="str">
        <f>IFERROR(__xludf.DUMMYFUNCTION("""COMPUTED_VALUE"""),"Top 10")</f>
        <v>Top 10</v>
      </c>
      <c r="B2" s="213" t="str">
        <f>IFERROR(__xludf.DUMMYFUNCTION("""COMPUTED_VALUE"""),"VLDB")</f>
        <v>VLDB</v>
      </c>
      <c r="C2" s="213" t="str">
        <f>IFERROR(__xludf.DUMMYFUNCTION("""COMPUTED_VALUE"""),"International Conference on Very Large Data Bases")</f>
        <v>International Conference on Very Large Data Bases</v>
      </c>
      <c r="D2" s="214">
        <f>IFERROR(__xludf.DUMMYFUNCTION("""COMPUTED_VALUE"""),79.0)</f>
        <v>79</v>
      </c>
      <c r="E2" s="16" t="str">
        <f>IFERROR(__xludf.DUMMYFUNCTION("""COMPUTED_VALUE"""),"https://scholar.google.com.br/citations?hl=pt-BR&amp;view_op=list_hcore&amp;venue=HgMIeQ05CyMJ.2024")</f>
        <v>https://scholar.google.com.br/citations?hl=pt-BR&amp;view_op=list_hcore&amp;venue=HgMIeQ05CyMJ.2024</v>
      </c>
      <c r="F2" s="215"/>
      <c r="I2" s="60" t="str">
        <f>IFERROR(__xludf.DUMMYFUNCTION("""COMPUTED_VALUE"""),"https://dblp.org/db/journals/pvldb/index.html")</f>
        <v>https://dblp.org/db/journals/pvldb/index.html</v>
      </c>
    </row>
    <row r="3">
      <c r="A3" s="212" t="str">
        <f>IFERROR(__xludf.DUMMYFUNCTION("""COMPUTED_VALUE"""),"Top 10")</f>
        <v>Top 10</v>
      </c>
      <c r="B3" s="216" t="str">
        <f>IFERROR(__xludf.DUMMYFUNCTION("""COMPUTED_VALUE"""),"SIGMOD")</f>
        <v>SIGMOD</v>
      </c>
      <c r="C3" s="213" t="str">
        <f>IFERROR(__xludf.DUMMYFUNCTION("""COMPUTED_VALUE"""),"ACM International Conference on Management of Data")</f>
        <v>ACM International Conference on Management of Data</v>
      </c>
      <c r="D3" s="214">
        <f>IFERROR(__xludf.DUMMYFUNCTION("""COMPUTED_VALUE"""),73.0)</f>
        <v>73</v>
      </c>
      <c r="E3" s="16" t="str">
        <f>IFERROR(__xludf.DUMMYFUNCTION("""COMPUTED_VALUE"""),"https://scholar.google.com.br/citations?hl=pt-BR&amp;view_op=list_hcore&amp;venue=u1CjH9_75_cJ.2024")</f>
        <v>https://scholar.google.com.br/citations?hl=pt-BR&amp;view_op=list_hcore&amp;venue=u1CjH9_75_cJ.2024</v>
      </c>
      <c r="F3" s="217"/>
      <c r="I3" s="60" t="str">
        <f>IFERROR(__xludf.DUMMYFUNCTION("""COMPUTED_VALUE"""),"https://dblp.org/db/conf/sigmod/index.html")</f>
        <v>https://dblp.org/db/conf/sigmod/index.html</v>
      </c>
    </row>
    <row r="4">
      <c r="A4" s="212" t="str">
        <f>IFERROR(__xludf.DUMMYFUNCTION("""COMPUTED_VALUE"""),"Top 10")</f>
        <v>Top 10</v>
      </c>
      <c r="B4" s="213" t="str">
        <f>IFERROR(__xludf.DUMMYFUNCTION("""COMPUTED_VALUE"""),"PODS")</f>
        <v>PODS</v>
      </c>
      <c r="C4" s="213" t="str">
        <f>IFERROR(__xludf.DUMMYFUNCTION("""COMPUTED_VALUE"""),"Symposium on Principles of Database Systems")</f>
        <v>Symposium on Principles of Database Systems</v>
      </c>
      <c r="D4" s="218">
        <f>IFERROR(__xludf.DUMMYFUNCTION("""COMPUTED_VALUE"""),24.0)</f>
        <v>24</v>
      </c>
      <c r="E4" s="16" t="str">
        <f>IFERROR(__xludf.DUMMYFUNCTION("""COMPUTED_VALUE"""),"https://scholar.google.com.br/citations?hl=pt-BR&amp;view_op=list_hcore&amp;venue=rDUVyYLeRdUJ.2024")</f>
        <v>https://scholar.google.com.br/citations?hl=pt-BR&amp;view_op=list_hcore&amp;venue=rDUVyYLeRdUJ.2024</v>
      </c>
      <c r="F4" s="217"/>
      <c r="H4" t="str">
        <f>IFERROR(__xludf.DUMMYFUNCTION("""COMPUTED_VALUE"""),"ACM SIGMOD-SIGACT-SIGART Symposium on Principles of Database Systems")</f>
        <v>ACM SIGMOD-SIGACT-SIGART Symposium on Principles of Database Systems</v>
      </c>
      <c r="I4" s="60" t="str">
        <f>IFERROR(__xludf.DUMMYFUNCTION("""COMPUTED_VALUE"""),"https://dblp.org/db/conf/pods/index.html")</f>
        <v>https://dblp.org/db/conf/pods/index.html</v>
      </c>
    </row>
    <row r="5">
      <c r="A5" s="212" t="str">
        <f>IFERROR(__xludf.DUMMYFUNCTION("""COMPUTED_VALUE"""),"Top 10")</f>
        <v>Top 10</v>
      </c>
      <c r="B5" s="213" t="str">
        <f>IFERROR(__xludf.DUMMYFUNCTION("""COMPUTED_VALUE"""),"ICDE")</f>
        <v>ICDE</v>
      </c>
      <c r="C5" s="213" t="str">
        <f>IFERROR(__xludf.DUMMYFUNCTION("""COMPUTED_VALUE"""),"IEEE International Conference on Data Engineering")</f>
        <v>IEEE International Conference on Data Engineering</v>
      </c>
      <c r="D5" s="214">
        <f>IFERROR(__xludf.DUMMYFUNCTION("""COMPUTED_VALUE"""),69.0)</f>
        <v>69</v>
      </c>
      <c r="E5" s="16" t="str">
        <f>IFERROR(__xludf.DUMMYFUNCTION("""COMPUTED_VALUE"""),"https://scholar.google.com.br/citations?hl=pt-BR&amp;view_op=list_hcore&amp;venue=HdCtgB7kxZAJ.2024")</f>
        <v>https://scholar.google.com.br/citations?hl=pt-BR&amp;view_op=list_hcore&amp;venue=HdCtgB7kxZAJ.2024</v>
      </c>
      <c r="F5" s="217"/>
      <c r="H5" t="str">
        <f>IFERROR(__xludf.DUMMYFUNCTION("""COMPUTED_VALUE"""),"International Conference on Data Engineering")</f>
        <v>International Conference on Data Engineering</v>
      </c>
      <c r="I5" s="60" t="str">
        <f>IFERROR(__xludf.DUMMYFUNCTION("""COMPUTED_VALUE"""),"https://dblp.org/db/conf/icde/index.html")</f>
        <v>https://dblp.org/db/conf/icde/index.html</v>
      </c>
    </row>
    <row r="6">
      <c r="A6" s="212" t="str">
        <f>IFERROR(__xludf.DUMMYFUNCTION("""COMPUTED_VALUE"""),"Top 10")</f>
        <v>Top 10</v>
      </c>
      <c r="B6" s="213" t="str">
        <f>IFERROR(__xludf.DUMMYFUNCTION("""COMPUTED_VALUE"""),"EDBT")</f>
        <v>EDBT</v>
      </c>
      <c r="C6" s="213" t="str">
        <f>IFERROR(__xludf.DUMMYFUNCTION("""COMPUTED_VALUE"""),"International Conference on Extending Database Technology")</f>
        <v>International Conference on Extending Database Technology</v>
      </c>
      <c r="D6" s="218">
        <f>IFERROR(__xludf.DUMMYFUNCTION("""COMPUTED_VALUE"""),29.0)</f>
        <v>29</v>
      </c>
      <c r="E6" s="16" t="str">
        <f>IFERROR(__xludf.DUMMYFUNCTION("""COMPUTED_VALUE"""),"https://scholar.google.com.br/citations?hl=pt-BR&amp;view_op=list_hcore&amp;venue=WuE3NzMRZNAJ.2024")</f>
        <v>https://scholar.google.com.br/citations?hl=pt-BR&amp;view_op=list_hcore&amp;venue=WuE3NzMRZNAJ.2024</v>
      </c>
      <c r="F6" s="217"/>
      <c r="I6" s="60" t="str">
        <f>IFERROR(__xludf.DUMMYFUNCTION("""COMPUTED_VALUE"""),"https://dblp.org/db/conf/edbt/index.html")</f>
        <v>https://dblp.org/db/conf/edbt/index.html</v>
      </c>
    </row>
    <row r="7">
      <c r="A7" s="212" t="str">
        <f>IFERROR(__xludf.DUMMYFUNCTION("""COMPUTED_VALUE"""),"Top 10")</f>
        <v>Top 10</v>
      </c>
      <c r="B7" s="213" t="str">
        <f>IFERROR(__xludf.DUMMYFUNCTION("""COMPUTED_VALUE"""),"CIKM")</f>
        <v>CIKM</v>
      </c>
      <c r="C7" s="213" t="str">
        <f>IFERROR(__xludf.DUMMYFUNCTION("""COMPUTED_VALUE"""),"ACM International Conference on Information and Knowledge Management")</f>
        <v>ACM International Conference on Information and Knowledge Management</v>
      </c>
      <c r="D7" s="214">
        <f>IFERROR(__xludf.DUMMYFUNCTION("""COMPUTED_VALUE"""),91.0)</f>
        <v>91</v>
      </c>
      <c r="E7" s="16" t="str">
        <f>IFERROR(__xludf.DUMMYFUNCTION("""COMPUTED_VALUE"""),"https://scholar.google.com.br/citations?hl=pt-BR&amp;view_op=list_hcore&amp;venue=V-IMg2OTpU8J.2024")</f>
        <v>https://scholar.google.com.br/citations?hl=pt-BR&amp;view_op=list_hcore&amp;venue=V-IMg2OTpU8J.2024</v>
      </c>
      <c r="F7" s="217"/>
      <c r="I7" s="60" t="str">
        <f>IFERROR(__xludf.DUMMYFUNCTION("""COMPUTED_VALUE"""),"https://dblp.org/db/conf/cikm/index.html")</f>
        <v>https://dblp.org/db/conf/cikm/index.html</v>
      </c>
    </row>
    <row r="8">
      <c r="A8" s="212" t="str">
        <f>IFERROR(__xludf.DUMMYFUNCTION("""COMPUTED_VALUE"""),"Top 10")</f>
        <v>Top 10</v>
      </c>
      <c r="B8" s="213" t="str">
        <f>IFERROR(__xludf.DUMMYFUNCTION("""COMPUTED_VALUE"""),"ER")</f>
        <v>ER</v>
      </c>
      <c r="C8" s="213" t="str">
        <f>IFERROR(__xludf.DUMMYFUNCTION("""COMPUTED_VALUE"""),"International Conference on Conceptual Modeling")</f>
        <v>International Conference on Conceptual Modeling</v>
      </c>
      <c r="D8" s="218">
        <f>IFERROR(__xludf.DUMMYFUNCTION("""COMPUTED_VALUE"""),20.0)</f>
        <v>20</v>
      </c>
      <c r="E8" s="16" t="str">
        <f>IFERROR(__xludf.DUMMYFUNCTION("""COMPUTED_VALUE"""),"https://scholar.google.com.br/citations?hl=pt-BR&amp;view_op=list_hcore&amp;venue=wB6WaEpFlvgJ.2024")</f>
        <v>https://scholar.google.com.br/citations?hl=pt-BR&amp;view_op=list_hcore&amp;venue=wB6WaEpFlvgJ.2024</v>
      </c>
      <c r="F8" s="217"/>
      <c r="I8" s="60" t="str">
        <f>IFERROR(__xludf.DUMMYFUNCTION("""COMPUTED_VALUE"""),"https://dblp.org/db/conf/er/index.html")</f>
        <v>https://dblp.org/db/conf/er/index.html</v>
      </c>
    </row>
    <row r="9">
      <c r="A9" s="212" t="str">
        <f>IFERROR(__xludf.DUMMYFUNCTION("""COMPUTED_VALUE"""),"Top 10")</f>
        <v>Top 10</v>
      </c>
      <c r="B9" s="213" t="str">
        <f>IFERROR(__xludf.DUMMYFUNCTION("""COMPUTED_VALUE"""),"SBBD")</f>
        <v>SBBD</v>
      </c>
      <c r="C9" s="213" t="str">
        <f>IFERROR(__xludf.DUMMYFUNCTION("""COMPUTED_VALUE"""),"Simpósio Brasileiro de Bancos de Dados")</f>
        <v>Simpósio Brasileiro de Bancos de Dados</v>
      </c>
      <c r="D9" s="218">
        <f>IFERROR(__xludf.DUMMYFUNCTION("""COMPUTED_VALUE"""),7.0)</f>
        <v>7</v>
      </c>
      <c r="E9" s="16" t="str">
        <f>IFERROR(__xludf.DUMMYFUNCTION("""COMPUTED_VALUE"""),"https://scholar.google.com.br/citations?hl=pt-BR&amp;view_op=list_hcore&amp;venue=ixetonJUY2YJ.2024")</f>
        <v>https://scholar.google.com.br/citations?hl=pt-BR&amp;view_op=list_hcore&amp;venue=ixetonJUY2YJ.2024</v>
      </c>
      <c r="F9" s="162"/>
      <c r="I9" s="60" t="str">
        <f>IFERROR(__xludf.DUMMYFUNCTION("""COMPUTED_VALUE"""),"https://dblp.org/db/conf/sbbd/index.html")</f>
        <v>https://dblp.org/db/conf/sbbd/index.html</v>
      </c>
      <c r="J9" s="60" t="str">
        <f>IFERROR(__xludf.DUMMYFUNCTION("""COMPUTED_VALUE"""),"https://sol.sbc.org.br/index.php/sbbd/issue/archive")</f>
        <v>https://sol.sbc.org.br/index.php/sbbd/issue/archive</v>
      </c>
    </row>
    <row r="10">
      <c r="A10" s="212" t="str">
        <f>IFERROR(__xludf.DUMMYFUNCTION("""COMPUTED_VALUE"""),"Top 10")</f>
        <v>Top 10</v>
      </c>
      <c r="B10" s="213" t="str">
        <f>IFERROR(__xludf.DUMMYFUNCTION("""COMPUTED_VALUE"""),"KDD")</f>
        <v>KDD</v>
      </c>
      <c r="C10" s="213" t="str">
        <f>IFERROR(__xludf.DUMMYFUNCTION("""COMPUTED_VALUE"""),"ACM SIGKDD conference on Knowledge Discovery and Data Mining")</f>
        <v>ACM SIGKDD conference on Knowledge Discovery and Data Mining</v>
      </c>
      <c r="D10" s="218">
        <f>IFERROR(__xludf.DUMMYFUNCTION("""COMPUTED_VALUE"""),124.0)</f>
        <v>124</v>
      </c>
      <c r="E10" s="16" t="str">
        <f>IFERROR(__xludf.DUMMYFUNCTION("""COMPUTED_VALUE"""),"https://scholar.google.com.br/citations?hl=pt-BR&amp;view_op=list_hcore&amp;venue=DxPOk84pRIIJ.2024")</f>
        <v>https://scholar.google.com.br/citations?hl=pt-BR&amp;view_op=list_hcore&amp;venue=DxPOk84pRIIJ.2024</v>
      </c>
      <c r="F10" s="219"/>
      <c r="I10" s="60" t="str">
        <f>IFERROR(__xludf.DUMMYFUNCTION("""COMPUTED_VALUE"""),"https://dblp.org/db/conf/kdd/index.html")</f>
        <v>https://dblp.org/db/conf/kdd/index.html</v>
      </c>
    </row>
    <row r="11">
      <c r="A11" s="212" t="str">
        <f>IFERROR(__xludf.DUMMYFUNCTION("""COMPUTED_VALUE"""),"Top 10")</f>
        <v>Top 10</v>
      </c>
      <c r="B11" s="213" t="str">
        <f>IFERROR(__xludf.DUMMYFUNCTION("""COMPUTED_VALUE"""),"CIDR")</f>
        <v>CIDR</v>
      </c>
      <c r="C11" s="213" t="str">
        <f>IFERROR(__xludf.DUMMYFUNCTION("""COMPUTED_VALUE"""),"Biennial Conference on Innovative Data Systems Research")</f>
        <v>Biennial Conference on Innovative Data Systems Research</v>
      </c>
      <c r="D11" s="218">
        <f>IFERROR(__xludf.DUMMYFUNCTION("""COMPUTED_VALUE"""),32.0)</f>
        <v>32</v>
      </c>
      <c r="E11" s="16" t="str">
        <f>IFERROR(__xludf.DUMMYFUNCTION("""COMPUTED_VALUE"""),"https://scholar.google.com.br/citations?hl=pt-BR&amp;view_op=list_hcore&amp;venue=5zblDmoFLZAJ.2024")</f>
        <v>https://scholar.google.com.br/citations?hl=pt-BR&amp;view_op=list_hcore&amp;venue=5zblDmoFLZAJ.2024</v>
      </c>
      <c r="F11" s="217"/>
      <c r="I11" s="60" t="str">
        <f>IFERROR(__xludf.DUMMYFUNCTION("""COMPUTED_VALUE"""),"https://dblp.org/db/conf/cidr/index.html")</f>
        <v>https://dblp.org/db/conf/cidr/index.html</v>
      </c>
    </row>
    <row r="12">
      <c r="A12" s="220" t="str">
        <f>IFERROR(__xludf.DUMMYFUNCTION("""COMPUTED_VALUE"""),"Top 20")</f>
        <v>Top 20</v>
      </c>
      <c r="B12" s="213" t="str">
        <f>IFERROR(__xludf.DUMMYFUNCTION("""COMPUTED_VALUE"""),"ICDT")</f>
        <v>ICDT</v>
      </c>
      <c r="C12" s="213" t="str">
        <f>IFERROR(__xludf.DUMMYFUNCTION("""COMPUTED_VALUE"""),"International Conference on Database Theory")</f>
        <v>International Conference on Database Theory</v>
      </c>
      <c r="D12" s="218">
        <f>IFERROR(__xludf.DUMMYFUNCTION("""COMPUTED_VALUE"""),19.0)</f>
        <v>19</v>
      </c>
      <c r="E12" s="16" t="str">
        <f>IFERROR(__xludf.DUMMYFUNCTION("""COMPUTED_VALUE"""),"https://scholar.google.com.br/citations?hl=pt-BR&amp;view_op=list_hcore&amp;venue=BGvdky_UalUJ.2024")</f>
        <v>https://scholar.google.com.br/citations?hl=pt-BR&amp;view_op=list_hcore&amp;venue=BGvdky_UalUJ.2024</v>
      </c>
      <c r="F12" s="217"/>
      <c r="I12" s="60" t="str">
        <f>IFERROR(__xludf.DUMMYFUNCTION("""COMPUTED_VALUE"""),"https://dblp.org/db/conf/icdt/index.html")</f>
        <v>https://dblp.org/db/conf/icdt/index.html</v>
      </c>
    </row>
    <row r="13">
      <c r="A13" s="220" t="str">
        <f>IFERROR(__xludf.DUMMYFUNCTION("""COMPUTED_VALUE"""),"Top 20")</f>
        <v>Top 20</v>
      </c>
      <c r="B13" s="213" t="str">
        <f>IFERROR(__xludf.DUMMYFUNCTION("""COMPUTED_VALUE"""),"DASFAA")</f>
        <v>DASFAA</v>
      </c>
      <c r="C13" s="216" t="str">
        <f>IFERROR(__xludf.DUMMYFUNCTION("""COMPUTED_VALUE"""),"International Conference on Database Systems for Advanced Applications")</f>
        <v>International Conference on Database Systems for Advanced Applications</v>
      </c>
      <c r="D13" s="218">
        <f>IFERROR(__xludf.DUMMYFUNCTION("""COMPUTED_VALUE"""),23.0)</f>
        <v>23</v>
      </c>
      <c r="E13" s="16" t="str">
        <f>IFERROR(__xludf.DUMMYFUNCTION("""COMPUTED_VALUE"""),"https://scholar.google.com.br/citations?hl=pt-BR&amp;view_op=list_hcore&amp;venue=yD4mA_VATukJ.2024")</f>
        <v>https://scholar.google.com.br/citations?hl=pt-BR&amp;view_op=list_hcore&amp;venue=yD4mA_VATukJ.2024</v>
      </c>
      <c r="F13" s="217"/>
      <c r="I13" s="60" t="str">
        <f>IFERROR(__xludf.DUMMYFUNCTION("""COMPUTED_VALUE"""),"https://dblp.org/db/conf/dasfaa/index.html")</f>
        <v>https://dblp.org/db/conf/dasfaa/index.html</v>
      </c>
    </row>
    <row r="14">
      <c r="A14" s="220" t="str">
        <f>IFERROR(__xludf.DUMMYFUNCTION("""COMPUTED_VALUE"""),"Top 20")</f>
        <v>Top 20</v>
      </c>
      <c r="B14" s="213" t="str">
        <f>IFERROR(__xludf.DUMMYFUNCTION("""COMPUTED_VALUE"""),"IDEAS")</f>
        <v>IDEAS</v>
      </c>
      <c r="C14" s="213" t="str">
        <f>IFERROR(__xludf.DUMMYFUNCTION("""COMPUTED_VALUE"""),"International Database Engineering and Applications Symposium")</f>
        <v>International Database Engineering and Applications Symposium</v>
      </c>
      <c r="D14" s="214">
        <f>IFERROR(__xludf.DUMMYFUNCTION("""COMPUTED_VALUE"""),16.0)</f>
        <v>16</v>
      </c>
      <c r="E14" s="16" t="str">
        <f>IFERROR(__xludf.DUMMYFUNCTION("""COMPUTED_VALUE"""),"https://scholar.google.com.br/citations?hl=pt-BR&amp;view_op=list_hcore&amp;venue=fdahdoWKyTYJ.2024")</f>
        <v>https://scholar.google.com.br/citations?hl=pt-BR&amp;view_op=list_hcore&amp;venue=fdahdoWKyTYJ.2024</v>
      </c>
      <c r="F14" s="217"/>
      <c r="H14" t="str">
        <f>IFERROR(__xludf.DUMMYFUNCTION("""COMPUTED_VALUE"""),"International Database Engineering &amp; Applications Symposium")</f>
        <v>International Database Engineering &amp; Applications Symposium</v>
      </c>
      <c r="I14" s="60" t="str">
        <f>IFERROR(__xludf.DUMMYFUNCTION("""COMPUTED_VALUE"""),"https://dblp.org/db/conf/ideas/index.html")</f>
        <v>https://dblp.org/db/conf/ideas/index.html</v>
      </c>
    </row>
    <row r="15">
      <c r="A15" s="220" t="str">
        <f>IFERROR(__xludf.DUMMYFUNCTION("""COMPUTED_VALUE"""),"Top 20")</f>
        <v>Top 20</v>
      </c>
      <c r="B15" s="221" t="str">
        <f>IFERROR(__xludf.DUMMYFUNCTION("""COMPUTED_VALUE"""),"DEXA")</f>
        <v>DEXA</v>
      </c>
      <c r="C15" s="221" t="str">
        <f>IFERROR(__xludf.DUMMYFUNCTION("""COMPUTED_VALUE"""),"Conference on Database and Expert Systems Applications")</f>
        <v>Conference on Database and Expert Systems Applications</v>
      </c>
      <c r="D15" s="222">
        <f>IFERROR(__xludf.DUMMYFUNCTION("""COMPUTED_VALUE"""),15.0)</f>
        <v>15</v>
      </c>
      <c r="E15" s="16" t="str">
        <f>IFERROR(__xludf.DUMMYFUNCTION("""COMPUTED_VALUE"""),"https://scholar.google.com.br/citations?hl=pt-BR&amp;view_op=list_hcore&amp;venue=2M02lZ1WL6IJ.2024")</f>
        <v>https://scholar.google.com.br/citations?hl=pt-BR&amp;view_op=list_hcore&amp;venue=2M02lZ1WL6IJ.2024</v>
      </c>
      <c r="F15" s="217"/>
      <c r="H15" t="str">
        <f>IFERROR(__xludf.DUMMYFUNCTION("""COMPUTED_VALUE"""),"Database and Expert Systems Applications")</f>
        <v>Database and Expert Systems Applications</v>
      </c>
      <c r="I15" s="60" t="str">
        <f>IFERROR(__xludf.DUMMYFUNCTION("""COMPUTED_VALUE"""),"https://dblp.org/db/conf/dexa/index.html")</f>
        <v>https://dblp.org/db/conf/dexa/index.html</v>
      </c>
    </row>
    <row r="16">
      <c r="A16" s="220" t="str">
        <f>IFERROR(__xludf.DUMMYFUNCTION("""COMPUTED_VALUE"""),"Top 20")</f>
        <v>Top 20</v>
      </c>
      <c r="B16" s="221" t="str">
        <f>IFERROR(__xludf.DUMMYFUNCTION("""COMPUTED_VALUE"""),"ADBIS")</f>
        <v>ADBIS</v>
      </c>
      <c r="C16" s="221" t="str">
        <f>IFERROR(__xludf.DUMMYFUNCTION("""COMPUTED_VALUE"""),"East European Conference on Advances in Databases and Information Systems")</f>
        <v>East European Conference on Advances in Databases and Information Systems</v>
      </c>
      <c r="D16" s="222">
        <f>IFERROR(__xludf.DUMMYFUNCTION("""COMPUTED_VALUE"""),16.0)</f>
        <v>16</v>
      </c>
      <c r="E16" s="16" t="str">
        <f>IFERROR(__xludf.DUMMYFUNCTION("""COMPUTED_VALUE"""),"https://scholar.google.com.br/citations?hl=pt-BR&amp;view_op=list_hcore&amp;venue=pEYfHFCSslcJ.2024")</f>
        <v>https://scholar.google.com.br/citations?hl=pt-BR&amp;view_op=list_hcore&amp;venue=pEYfHFCSslcJ.2024</v>
      </c>
      <c r="F16" s="217"/>
      <c r="H16" t="str">
        <f>IFERROR(__xludf.DUMMYFUNCTION("""COMPUTED_VALUE"""),"Advances in Databases and Information Systems")</f>
        <v>Advances in Databases and Information Systems</v>
      </c>
      <c r="I16" s="60" t="str">
        <f>IFERROR(__xludf.DUMMYFUNCTION("""COMPUTED_VALUE"""),"https://dblp.org/db/conf/adbis/index.html")</f>
        <v>https://dblp.org/db/conf/adbis/index.html</v>
      </c>
    </row>
    <row r="17">
      <c r="A17" s="220" t="str">
        <f>IFERROR(__xludf.DUMMYFUNCTION("""COMPUTED_VALUE"""),"Top 20")</f>
        <v>Top 20</v>
      </c>
      <c r="B17" s="221" t="str">
        <f>IFERROR(__xludf.DUMMYFUNCTION("""COMPUTED_VALUE"""),"KDMILE")</f>
        <v>KDMILE</v>
      </c>
      <c r="C17" s="221" t="str">
        <f>IFERROR(__xludf.DUMMYFUNCTION("""COMPUTED_VALUE"""),"Symposium on Knowledge Discovery, Mining and Learning")</f>
        <v>Symposium on Knowledge Discovery, Mining and Learning</v>
      </c>
      <c r="D17" s="222">
        <f>IFERROR(__xludf.DUMMYFUNCTION("""COMPUTED_VALUE"""),7.0)</f>
        <v>7</v>
      </c>
      <c r="E17" s="16" t="str">
        <f>IFERROR(__xludf.DUMMYFUNCTION("""COMPUTED_VALUE"""),"https://scholar.google.com.br/citations?hl=pt-BR&amp;view_op=list_hcore&amp;venue=ktOlY8k93VoJ.2024")</f>
        <v>https://scholar.google.com.br/citations?hl=pt-BR&amp;view_op=list_hcore&amp;venue=ktOlY8k93VoJ.2024</v>
      </c>
      <c r="F17" s="217"/>
      <c r="J17" s="60" t="str">
        <f>IFERROR(__xludf.DUMMYFUNCTION("""COMPUTED_VALUE"""),"https://sol.sbc.org.br/index.php/kdmile/issue/archive")</f>
        <v>https://sol.sbc.org.br/index.php/kdmile/issue/archive</v>
      </c>
    </row>
    <row r="18">
      <c r="A18" s="220" t="str">
        <f>IFERROR(__xludf.DUMMYFUNCTION("""COMPUTED_VALUE"""),"Top 20")</f>
        <v>Top 20</v>
      </c>
      <c r="B18" s="213" t="str">
        <f>IFERROR(__xludf.DUMMYFUNCTION("""COMPUTED_VALUE"""),"IIWAS")</f>
        <v>IIWAS</v>
      </c>
      <c r="C18" s="213" t="str">
        <f>IFERROR(__xludf.DUMMYFUNCTION("""COMPUTED_VALUE"""),"International Conference on Information Integration and Web-based Applications &amp; Services")</f>
        <v>International Conference on Information Integration and Web-based Applications &amp; Services</v>
      </c>
      <c r="D18" s="223">
        <f>IFERROR(__xludf.DUMMYFUNCTION("""COMPUTED_VALUE"""),15.0)</f>
        <v>15</v>
      </c>
      <c r="E18" s="16" t="str">
        <f>IFERROR(__xludf.DUMMYFUNCTION("""COMPUTED_VALUE"""),"https://scholar.google.com.br/citations?hl=pt-BR&amp;view_op=list_hcore&amp;venue=Tq_VLYZkpzwJ.2024")</f>
        <v>https://scholar.google.com.br/citations?hl=pt-BR&amp;view_op=list_hcore&amp;venue=Tq_VLYZkpzwJ.2024</v>
      </c>
      <c r="F18" s="224"/>
      <c r="I18" s="60" t="str">
        <f>IFERROR(__xludf.DUMMYFUNCTION("""COMPUTED_VALUE"""),"https://dblp.org/db/conf/iiwas/index.html")</f>
        <v>https://dblp.org/db/conf/iiwas/index.html</v>
      </c>
    </row>
    <row r="19">
      <c r="A19" s="220" t="str">
        <f>IFERROR(__xludf.DUMMYFUNCTION("""COMPUTED_VALUE"""),"Top 20")</f>
        <v>Top 20</v>
      </c>
      <c r="B19" s="213" t="str">
        <f>IFERROR(__xludf.DUMMYFUNCTION("""COMPUTED_VALUE"""),"ICEIS")</f>
        <v>ICEIS</v>
      </c>
      <c r="C19" s="213" t="str">
        <f>IFERROR(__xludf.DUMMYFUNCTION("""COMPUTED_VALUE"""),"International Conference on Enterprise Information Systems")</f>
        <v>International Conference on Enterprise Information Systems</v>
      </c>
      <c r="D19" s="218">
        <f>IFERROR(__xludf.DUMMYFUNCTION("""COMPUTED_VALUE"""),21.0)</f>
        <v>21</v>
      </c>
      <c r="E19" s="16" t="str">
        <f>IFERROR(__xludf.DUMMYFUNCTION("""COMPUTED_VALUE"""),"https://scholar.google.com.br/citations?hl=pt-BR&amp;view_op=list_hcore&amp;venue=zsGWp1QJr3AJ.2024")</f>
        <v>https://scholar.google.com.br/citations?hl=pt-BR&amp;view_op=list_hcore&amp;venue=zsGWp1QJr3AJ.2024</v>
      </c>
      <c r="F19" s="217"/>
      <c r="I19" s="60" t="str">
        <f>IFERROR(__xludf.DUMMYFUNCTION("""COMPUTED_VALUE"""),"https://dblp.org/db/conf/iceis/index.html")</f>
        <v>https://dblp.org/db/conf/iceis/index.html</v>
      </c>
    </row>
    <row r="20">
      <c r="A20" s="220" t="str">
        <f>IFERROR(__xludf.DUMMYFUNCTION("""COMPUTED_VALUE"""),"Top 20")</f>
        <v>Top 20</v>
      </c>
      <c r="B20" s="213" t="str">
        <f>IFERROR(__xludf.DUMMYFUNCTION("""COMPUTED_VALUE"""),"CLOSER")</f>
        <v>CLOSER</v>
      </c>
      <c r="C20" s="213" t="str">
        <f>IFERROR(__xludf.DUMMYFUNCTION("""COMPUTED_VALUE"""),"International Conference on Cloud Computing and Services Science")</f>
        <v>International Conference on Cloud Computing and Services Science</v>
      </c>
      <c r="D20" s="218">
        <f>IFERROR(__xludf.DUMMYFUNCTION("""COMPUTED_VALUE"""),15.0)</f>
        <v>15</v>
      </c>
      <c r="E20" s="16" t="str">
        <f>IFERROR(__xludf.DUMMYFUNCTION("""COMPUTED_VALUE"""),"https://scholar.google.com.br/citations?hl=pt-BR&amp;view_op=list_hcore&amp;venue=hltkuBaF_uEJ.2024")</f>
        <v>https://scholar.google.com.br/citations?hl=pt-BR&amp;view_op=list_hcore&amp;venue=hltkuBaF_uEJ.2024</v>
      </c>
      <c r="F20" s="217"/>
      <c r="I20" s="60" t="str">
        <f>IFERROR(__xludf.DUMMYFUNCTION("""COMPUTED_VALUE"""),"https://dblp.org/db/conf/closer/index.html")</f>
        <v>https://dblp.org/db/conf/closer/index.html</v>
      </c>
    </row>
    <row r="21">
      <c r="A21" s="220" t="str">
        <f>IFERROR(__xludf.DUMMYFUNCTION("""COMPUTED_VALUE"""),"Top 20")</f>
        <v>Top 20</v>
      </c>
      <c r="B21" s="213" t="str">
        <f>IFERROR(__xludf.DUMMYFUNCTION("""COMPUTED_VALUE"""),"WEBIST")</f>
        <v>WEBIST</v>
      </c>
      <c r="C21" s="213" t="str">
        <f>IFERROR(__xludf.DUMMYFUNCTION("""COMPUTED_VALUE"""),"International Conference on Web Information Systems and Technologies")</f>
        <v>International Conference on Web Information Systems and Technologies</v>
      </c>
      <c r="D21" s="223">
        <f>IFERROR(__xludf.DUMMYFUNCTION("""COMPUTED_VALUE"""),14.0)</f>
        <v>14</v>
      </c>
      <c r="E21" s="16" t="str">
        <f>IFERROR(__xludf.DUMMYFUNCTION("""COMPUTED_VALUE"""),"https://scholar.google.com.br/citations?hl=pt-BR&amp;view_op=list_hcore&amp;venue=0oQi0-PzQ8sJ.2024")</f>
        <v>https://scholar.google.com.br/citations?hl=pt-BR&amp;view_op=list_hcore&amp;venue=0oQi0-PzQ8sJ.2024</v>
      </c>
      <c r="F21" s="217"/>
      <c r="I21" s="60" t="str">
        <f>IFERROR(__xludf.DUMMYFUNCTION("""COMPUTED_VALUE"""),"https://dblp.org/db/conf/webist/index.html")</f>
        <v>https://dblp.org/db/conf/webist/index.html</v>
      </c>
    </row>
    <row r="22">
      <c r="A22" s="68" t="str">
        <f>IFERROR(__xludf.DUMMYFUNCTION("""COMPUTED_VALUE"""),"Eventos da Área")</f>
        <v>Eventos da Área</v>
      </c>
      <c r="B22" s="213" t="str">
        <f>IFERROR(__xludf.DUMMYFUNCTION("""COMPUTED_VALUE"""),"WWW")</f>
        <v>WWW</v>
      </c>
      <c r="C22" s="213" t="str">
        <f>IFERROR(__xludf.DUMMYFUNCTION("""COMPUTED_VALUE"""),"International World Wide Web Conferences")</f>
        <v>International World Wide Web Conferences</v>
      </c>
      <c r="D22" s="218">
        <f>IFERROR(__xludf.DUMMYFUNCTION("""COMPUTED_VALUE"""),112.0)</f>
        <v>112</v>
      </c>
      <c r="E22" s="16" t="str">
        <f>IFERROR(__xludf.DUMMYFUNCTION("""COMPUTED_VALUE"""),"https://scholar.google.com.br/citations?hl=pt-BR&amp;view_op=list_hcore&amp;venue=VtCeQ7ShDloJ.2024")</f>
        <v>https://scholar.google.com.br/citations?hl=pt-BR&amp;view_op=list_hcore&amp;venue=VtCeQ7ShDloJ.2024</v>
      </c>
      <c r="F22" s="224"/>
      <c r="I22" s="60" t="str">
        <f>IFERROR(__xludf.DUMMYFUNCTION("""COMPUTED_VALUE"""),"https://dblp.org/db/conf/www/index.html")</f>
        <v>https://dblp.org/db/conf/www/index.html</v>
      </c>
    </row>
    <row r="23">
      <c r="A23" s="68" t="str">
        <f>IFERROR(__xludf.DUMMYFUNCTION("""COMPUTED_VALUE"""),"Eventos da Área")</f>
        <v>Eventos da Área</v>
      </c>
      <c r="B23" s="213" t="str">
        <f>IFERROR(__xludf.DUMMYFUNCTION("""COMPUTED_VALUE"""),"MDM")</f>
        <v>MDM</v>
      </c>
      <c r="C23" s="213" t="str">
        <f>IFERROR(__xludf.DUMMYFUNCTION("""COMPUTED_VALUE"""),"IEEE International Conference on Mobile Data Management")</f>
        <v>IEEE International Conference on Mobile Data Management</v>
      </c>
      <c r="D23" s="218">
        <f>IFERROR(__xludf.DUMMYFUNCTION("""COMPUTED_VALUE"""),19.0)</f>
        <v>19</v>
      </c>
      <c r="E23" s="16" t="str">
        <f>IFERROR(__xludf.DUMMYFUNCTION("""COMPUTED_VALUE"""),"https://scholar.google.com.br/citations?hl=pt-BR&amp;view_op=list_hcore&amp;venue=sGmafh2RqU8J.2024")</f>
        <v>https://scholar.google.com.br/citations?hl=pt-BR&amp;view_op=list_hcore&amp;venue=sGmafh2RqU8J.2024</v>
      </c>
      <c r="F23" s="217"/>
      <c r="H23" t="str">
        <f>IFERROR(__xludf.DUMMYFUNCTION("""COMPUTED_VALUE"""),"International Conference on Mobile Data Management")</f>
        <v>International Conference on Mobile Data Management</v>
      </c>
      <c r="I23" s="60" t="str">
        <f>IFERROR(__xludf.DUMMYFUNCTION("""COMPUTED_VALUE"""),"https://dblp.org/db/conf/mdm/index.html")</f>
        <v>https://dblp.org/db/conf/mdm/index.html</v>
      </c>
    </row>
    <row r="24">
      <c r="A24" s="68" t="str">
        <f>IFERROR(__xludf.DUMMYFUNCTION("""COMPUTED_VALUE"""),"Eventos da Área")</f>
        <v>Eventos da Área</v>
      </c>
      <c r="B24" s="213" t="str">
        <f>IFERROR(__xludf.DUMMYFUNCTION("""COMPUTED_VALUE"""),"SSDBM")</f>
        <v>SSDBM</v>
      </c>
      <c r="C24" s="213" t="str">
        <f>IFERROR(__xludf.DUMMYFUNCTION("""COMPUTED_VALUE"""),"International Conference on Scientific and Statistical Database Management")</f>
        <v>International Conference on Scientific and Statistical Database Management</v>
      </c>
      <c r="D24" s="218">
        <f>IFERROR(__xludf.DUMMYFUNCTION("""COMPUTED_VALUE"""),12.0)</f>
        <v>12</v>
      </c>
      <c r="E24" s="16" t="str">
        <f>IFERROR(__xludf.DUMMYFUNCTION("""COMPUTED_VALUE"""),"https://scholar.google.com.br/citations?hl=pt-BR&amp;view_op=list_hcore&amp;venue=w_KC2fvJJQEJ.2024")</f>
        <v>https://scholar.google.com.br/citations?hl=pt-BR&amp;view_op=list_hcore&amp;venue=w_KC2fvJJQEJ.2024</v>
      </c>
      <c r="F24" s="217"/>
      <c r="I24" s="60" t="str">
        <f>IFERROR(__xludf.DUMMYFUNCTION("""COMPUTED_VALUE"""),"https://dblp.org/db/conf/ssdbm/index.html")</f>
        <v>https://dblp.org/db/conf/ssdbm/index.html</v>
      </c>
    </row>
    <row r="25">
      <c r="A25" s="68" t="str">
        <f>IFERROR(__xludf.DUMMYFUNCTION("""COMPUTED_VALUE"""),"Eventos da Área")</f>
        <v>Eventos da Área</v>
      </c>
      <c r="B25" s="213" t="str">
        <f>IFERROR(__xludf.DUMMYFUNCTION("""COMPUTED_VALUE"""),"DATE")</f>
        <v>DATE</v>
      </c>
      <c r="C25" s="213" t="str">
        <f>IFERROR(__xludf.DUMMYFUNCTION("""COMPUTED_VALUE"""),"Design, Automation amd Test in Europe Conference and Exhibition")</f>
        <v>Design, Automation amd Test in Europe Conference and Exhibition</v>
      </c>
      <c r="D25" s="218">
        <f>IFERROR(__xludf.DUMMYFUNCTION("""COMPUTED_VALUE"""),46.0)</f>
        <v>46</v>
      </c>
      <c r="E25" s="16" t="str">
        <f>IFERROR(__xludf.DUMMYFUNCTION("""COMPUTED_VALUE"""),"https://scholar.google.com.br/citations?hl=pt-BR&amp;view_op=list_hcore&amp;venue=cP2AyDfWCcQJ.2024")</f>
        <v>https://scholar.google.com.br/citations?hl=pt-BR&amp;view_op=list_hcore&amp;venue=cP2AyDfWCcQJ.2024</v>
      </c>
      <c r="F25" s="217"/>
      <c r="I25" s="60" t="str">
        <f>IFERROR(__xludf.DUMMYFUNCTION("""COMPUTED_VALUE"""),"https://dblp.org/db/conf/date/index.html")</f>
        <v>https://dblp.org/db/conf/date/index.html</v>
      </c>
    </row>
    <row r="26">
      <c r="A26" s="68" t="str">
        <f>IFERROR(__xludf.DUMMYFUNCTION("""COMPUTED_VALUE"""),"Eventos da Área")</f>
        <v>Eventos da Área</v>
      </c>
      <c r="B26" s="213" t="str">
        <f>IFERROR(__xludf.DUMMYFUNCTION("""COMPUTED_VALUE"""),"ISWC")</f>
        <v>ISWC</v>
      </c>
      <c r="C26" s="213" t="str">
        <f>IFERROR(__xludf.DUMMYFUNCTION("""COMPUTED_VALUE"""),"International Semantic Web Conference")</f>
        <v>International Semantic Web Conference</v>
      </c>
      <c r="D26" s="218">
        <f>IFERROR(__xludf.DUMMYFUNCTION("""COMPUTED_VALUE"""),37.0)</f>
        <v>37</v>
      </c>
      <c r="E26" s="16" t="str">
        <f>IFERROR(__xludf.DUMMYFUNCTION("""COMPUTED_VALUE"""),"https://scholar.google.com.br/citations?hl=pt-BR&amp;view_op=list_hcore&amp;venue=AETH84_wOIQJ.2024")</f>
        <v>https://scholar.google.com.br/citations?hl=pt-BR&amp;view_op=list_hcore&amp;venue=AETH84_wOIQJ.2024</v>
      </c>
      <c r="F26" s="217"/>
      <c r="I26" s="60" t="str">
        <f>IFERROR(__xludf.DUMMYFUNCTION("""COMPUTED_VALUE"""),"https://dblp.org/db/conf/semweb/index.html")</f>
        <v>https://dblp.org/db/conf/semweb/index.html</v>
      </c>
    </row>
    <row r="27">
      <c r="A27" s="68" t="str">
        <f>IFERROR(__xludf.DUMMYFUNCTION("""COMPUTED_VALUE"""),"Eventos da Área")</f>
        <v>Eventos da Área</v>
      </c>
      <c r="B27" s="213" t="str">
        <f>IFERROR(__xludf.DUMMYFUNCTION("""COMPUTED_VALUE"""),"CCGRID")</f>
        <v>CCGRID</v>
      </c>
      <c r="C27" s="213" t="str">
        <f>IFERROR(__xludf.DUMMYFUNCTION("""COMPUTED_VALUE"""),"IEEE/ACM International Symposium on Cluster, Cloud, and Grid Computing")</f>
        <v>IEEE/ACM International Symposium on Cluster, Cloud, and Grid Computing</v>
      </c>
      <c r="D27" s="218">
        <f>IFERROR(__xludf.DUMMYFUNCTION("""COMPUTED_VALUE"""),29.0)</f>
        <v>29</v>
      </c>
      <c r="E27" s="16" t="str">
        <f>IFERROR(__xludf.DUMMYFUNCTION("""COMPUTED_VALUE"""),"https://scholar.google.com.br/citations?hl=pt-BR&amp;view_op=list_hcore&amp;venue=_IeLSKDu4j0J.2024")</f>
        <v>https://scholar.google.com.br/citations?hl=pt-BR&amp;view_op=list_hcore&amp;venue=_IeLSKDu4j0J.2024</v>
      </c>
      <c r="F27" s="217"/>
      <c r="I27" s="60" t="str">
        <f>IFERROR(__xludf.DUMMYFUNCTION("""COMPUTED_VALUE"""),"https://dblp.org/db/conf/ccgrid/index.html")</f>
        <v>https://dblp.org/db/conf/ccgrid/index.html</v>
      </c>
    </row>
    <row r="28">
      <c r="A28" s="68" t="str">
        <f>IFERROR(__xludf.DUMMYFUNCTION("""COMPUTED_VALUE"""),"Eventos da Área")</f>
        <v>Eventos da Área</v>
      </c>
      <c r="B28" s="213" t="str">
        <f>IFERROR(__xludf.DUMMYFUNCTION("""COMPUTED_VALUE"""),"SIGSPATIAL")</f>
        <v>SIGSPATIAL</v>
      </c>
      <c r="C28" s="213" t="str">
        <f>IFERROR(__xludf.DUMMYFUNCTION("""COMPUTED_VALUE"""),"ACM SIGSPATIAL International Conference on Advances in Geographic Information Systems")</f>
        <v>ACM SIGSPATIAL International Conference on Advances in Geographic Information Systems</v>
      </c>
      <c r="D28" s="218">
        <f>IFERROR(__xludf.DUMMYFUNCTION("""COMPUTED_VALUE"""),27.0)</f>
        <v>27</v>
      </c>
      <c r="E28" s="16" t="str">
        <f>IFERROR(__xludf.DUMMYFUNCTION("""COMPUTED_VALUE"""),"https://scholar.google.com.br/citations?hl=pt-BR&amp;view_op=list_hcore&amp;venue=OOX3mKRBpYMJ.2024")</f>
        <v>https://scholar.google.com.br/citations?hl=pt-BR&amp;view_op=list_hcore&amp;venue=OOX3mKRBpYMJ.2024</v>
      </c>
      <c r="F28" s="217"/>
      <c r="I28" s="60" t="str">
        <f>IFERROR(__xludf.DUMMYFUNCTION("""COMPUTED_VALUE"""),"https://dblp.org/db/conf/gis/index.html")</f>
        <v>https://dblp.org/db/conf/gis/index.html</v>
      </c>
    </row>
    <row r="29">
      <c r="A29" s="68" t="str">
        <f>IFERROR(__xludf.DUMMYFUNCTION("""COMPUTED_VALUE"""),"Eventos da Área")</f>
        <v>Eventos da Área</v>
      </c>
      <c r="B29" s="213" t="str">
        <f>IFERROR(__xludf.DUMMYFUNCTION("""COMPUTED_VALUE"""),"UCC")</f>
        <v>UCC</v>
      </c>
      <c r="C29" s="213" t="str">
        <f>IFERROR(__xludf.DUMMYFUNCTION("""COMPUTED_VALUE"""),"IEEE/ACM International Conference on Utility and Cloud Computing")</f>
        <v>IEEE/ACM International Conference on Utility and Cloud Computing</v>
      </c>
      <c r="D29" s="218">
        <f>IFERROR(__xludf.DUMMYFUNCTION("""COMPUTED_VALUE"""),23.0)</f>
        <v>23</v>
      </c>
      <c r="E29" s="16" t="str">
        <f>IFERROR(__xludf.DUMMYFUNCTION("""COMPUTED_VALUE"""),"https://scholar.google.com.br/citations?hl=pt-BR&amp;view_op=list_hcore&amp;venue=gCzn4TRHFGQJ.2024")</f>
        <v>https://scholar.google.com.br/citations?hl=pt-BR&amp;view_op=list_hcore&amp;venue=gCzn4TRHFGQJ.2024</v>
      </c>
      <c r="F29" s="217"/>
      <c r="I29" s="60" t="str">
        <f>IFERROR(__xludf.DUMMYFUNCTION("""COMPUTED_VALUE"""),"https://dblp.org/db/conf/ucc/index.html")</f>
        <v>https://dblp.org/db/conf/ucc/index.html</v>
      </c>
    </row>
    <row r="30">
      <c r="A30" s="68" t="str">
        <f>IFERROR(__xludf.DUMMYFUNCTION("""COMPUTED_VALUE"""),"Eventos da Área")</f>
        <v>Eventos da Área</v>
      </c>
      <c r="B30" s="213" t="str">
        <f>IFERROR(__xludf.DUMMYFUNCTION("""COMPUTED_VALUE"""),"SAC")</f>
        <v>SAC</v>
      </c>
      <c r="C30" s="213" t="str">
        <f>IFERROR(__xludf.DUMMYFUNCTION("""COMPUTED_VALUE"""),"ACM Symposium on Applied Computing")</f>
        <v>ACM Symposium on Applied Computing</v>
      </c>
      <c r="D30" s="218">
        <f>IFERROR(__xludf.DUMMYFUNCTION("""COMPUTED_VALUE"""),36.0)</f>
        <v>36</v>
      </c>
      <c r="E30" s="16" t="str">
        <f>IFERROR(__xludf.DUMMYFUNCTION("""COMPUTED_VALUE"""),"https://scholar.google.com.br/citations?hl=pt-BR&amp;view_op=list_hcore&amp;venue=eLhWa3qzEDsJ.2024")</f>
        <v>https://scholar.google.com.br/citations?hl=pt-BR&amp;view_op=list_hcore&amp;venue=eLhWa3qzEDsJ.2024</v>
      </c>
      <c r="F30" s="217"/>
      <c r="I30" s="60" t="str">
        <f>IFERROR(__xludf.DUMMYFUNCTION("""COMPUTED_VALUE"""),"https://dblp.org/db/conf/sac/index.html")</f>
        <v>https://dblp.org/db/conf/sac/index.html</v>
      </c>
    </row>
    <row r="31">
      <c r="A31" s="68" t="str">
        <f>IFERROR(__xludf.DUMMYFUNCTION("""COMPUTED_VALUE"""),"Eventos da Área")</f>
        <v>Eventos da Área</v>
      </c>
      <c r="B31" s="213" t="str">
        <f>IFERROR(__xludf.DUMMYFUNCTION("""COMPUTED_VALUE"""),"CLOUD")</f>
        <v>CLOUD</v>
      </c>
      <c r="C31" s="213" t="str">
        <f>IFERROR(__xludf.DUMMYFUNCTION("""COMPUTED_VALUE"""),"IEEE International Conference on Cloud Computing")</f>
        <v>IEEE International Conference on Cloud Computing</v>
      </c>
      <c r="D31" s="218">
        <f>IFERROR(__xludf.DUMMYFUNCTION("""COMPUTED_VALUE"""),28.0)</f>
        <v>28</v>
      </c>
      <c r="E31" s="16" t="str">
        <f>IFERROR(__xludf.DUMMYFUNCTION("""COMPUTED_VALUE"""),"https://scholar.google.com.br/citations?hl=pt-BR&amp;view_op=list_hcore&amp;venue=ioohKoS5imcJ.2024")</f>
        <v>https://scholar.google.com.br/citations?hl=pt-BR&amp;view_op=list_hcore&amp;venue=ioohKoS5imcJ.2024</v>
      </c>
      <c r="F31" s="217"/>
      <c r="I31" s="60" t="str">
        <f>IFERROR(__xludf.DUMMYFUNCTION("""COMPUTED_VALUE"""),"https://dblp.org/db/conf/IEEEcloud/index.html")</f>
        <v>https://dblp.org/db/conf/IEEEcloud/index.html</v>
      </c>
    </row>
    <row r="32">
      <c r="A32" s="68" t="str">
        <f>IFERROR(__xludf.DUMMYFUNCTION("""COMPUTED_VALUE"""),"Eventos da Área")</f>
        <v>Eventos da Área</v>
      </c>
      <c r="B32" s="213" t="str">
        <f>IFERROR(__xludf.DUMMYFUNCTION("""COMPUTED_VALUE"""),"CLOUDCOM")</f>
        <v>CLOUDCOM</v>
      </c>
      <c r="C32" s="213" t="str">
        <f>IFERROR(__xludf.DUMMYFUNCTION("""COMPUTED_VALUE"""),"IEEE International Conference on Cloud Computing Technology and Science")</f>
        <v>IEEE International Conference on Cloud Computing Technology and Science</v>
      </c>
      <c r="D32" s="223">
        <f>IFERROR(__xludf.DUMMYFUNCTION("""COMPUTED_VALUE"""),13.0)</f>
        <v>13</v>
      </c>
      <c r="E32" s="16" t="str">
        <f>IFERROR(__xludf.DUMMYFUNCTION("""COMPUTED_VALUE"""),"https://scholar.google.com.br/citations?hl=pt-BR&amp;view_op=list_hcore&amp;venue=aNZ314HiR4YJ.2024")</f>
        <v>https://scholar.google.com.br/citations?hl=pt-BR&amp;view_op=list_hcore&amp;venue=aNZ314HiR4YJ.2024</v>
      </c>
      <c r="F32" s="217"/>
      <c r="I32" s="60" t="str">
        <f>IFERROR(__xludf.DUMMYFUNCTION("""COMPUTED_VALUE"""),"https://dblp.org/db/conf/cloudcom/index.html")</f>
        <v>https://dblp.org/db/conf/cloudcom/index.html</v>
      </c>
    </row>
    <row r="33">
      <c r="A33" s="68" t="str">
        <f>IFERROR(__xludf.DUMMYFUNCTION("""COMPUTED_VALUE"""),"Eventos da Área")</f>
        <v>Eventos da Área</v>
      </c>
      <c r="B33" s="213" t="str">
        <f>IFERROR(__xludf.DUMMYFUNCTION("""COMPUTED_VALUE"""),"ESCIENCE")</f>
        <v>ESCIENCE</v>
      </c>
      <c r="C33" s="213" t="str">
        <f>IFERROR(__xludf.DUMMYFUNCTION("""COMPUTED_VALUE"""),"IEEE International Conference on e-Science")</f>
        <v>IEEE International Conference on e-Science</v>
      </c>
      <c r="D33" s="218">
        <f>IFERROR(__xludf.DUMMYFUNCTION("""COMPUTED_VALUE"""),15.0)</f>
        <v>15</v>
      </c>
      <c r="E33" s="16" t="str">
        <f>IFERROR(__xludf.DUMMYFUNCTION("""COMPUTED_VALUE"""),"https://scholar.google.com.br/citations?hl=pt-BR&amp;view_op=list_hcore&amp;venue=6RxgACAtCdcJ.2024")</f>
        <v>https://scholar.google.com.br/citations?hl=pt-BR&amp;view_op=list_hcore&amp;venue=6RxgACAtCdcJ.2024</v>
      </c>
      <c r="F33" s="217"/>
      <c r="I33" s="60" t="str">
        <f>IFERROR(__xludf.DUMMYFUNCTION("""COMPUTED_VALUE"""),"https://dblp.org/db/conf/eScience/index.html")</f>
        <v>https://dblp.org/db/conf/eScience/index.html</v>
      </c>
    </row>
    <row r="34">
      <c r="A34" s="68" t="str">
        <f>IFERROR(__xludf.DUMMYFUNCTION("""COMPUTED_VALUE"""),"Eventos da Área")</f>
        <v>Eventos da Área</v>
      </c>
      <c r="B34" s="213" t="str">
        <f>IFERROR(__xludf.DUMMYFUNCTION("""COMPUTED_VALUE"""),"ICTSS")</f>
        <v>ICTSS</v>
      </c>
      <c r="C34" s="216" t="str">
        <f>IFERROR(__xludf.DUMMYFUNCTION("""COMPUTED_VALUE"""),"IFIP International Conference on Testing Software and Systems")</f>
        <v>IFIP International Conference on Testing Software and Systems</v>
      </c>
      <c r="D34" s="218"/>
      <c r="E34" s="16"/>
      <c r="F34" s="217"/>
      <c r="I34" s="60" t="str">
        <f>IFERROR(__xludf.DUMMYFUNCTION("""COMPUTED_VALUE"""),"https://dblp.org/db/conf/pts/index.html")</f>
        <v>https://dblp.org/db/conf/pts/index.html</v>
      </c>
    </row>
    <row r="35">
      <c r="A35" s="68" t="str">
        <f>IFERROR(__xludf.DUMMYFUNCTION("""COMPUTED_VALUE"""),"Eventos da Área")</f>
        <v>Eventos da Área</v>
      </c>
      <c r="B35" s="213" t="str">
        <f>IFERROR(__xludf.DUMMYFUNCTION("""COMPUTED_VALUE"""),"SISAP")</f>
        <v>SISAP</v>
      </c>
      <c r="C35" s="213" t="str">
        <f>IFERROR(__xludf.DUMMYFUNCTION("""COMPUTED_VALUE"""),"International Conference on Similarity Search and Applications")</f>
        <v>International Conference on Similarity Search and Applications</v>
      </c>
      <c r="D35" s="218">
        <f>IFERROR(__xludf.DUMMYFUNCTION("""COMPUTED_VALUE"""),11.0)</f>
        <v>11</v>
      </c>
      <c r="E35" s="16" t="str">
        <f>IFERROR(__xludf.DUMMYFUNCTION("""COMPUTED_VALUE"""),"https://scholar.google.com.br/citations?hl=pt-BR&amp;view_op=list_hcore&amp;venue=XdShTT6W3h0J.2024")</f>
        <v>https://scholar.google.com.br/citations?hl=pt-BR&amp;view_op=list_hcore&amp;venue=XdShTT6W3h0J.2024</v>
      </c>
      <c r="F35" s="217"/>
      <c r="H35" t="str">
        <f>IFERROR(__xludf.DUMMYFUNCTION("""COMPUTED_VALUE"""),"Similarity Search and Applications")</f>
        <v>Similarity Search and Applications</v>
      </c>
      <c r="I35" s="60" t="str">
        <f>IFERROR(__xludf.DUMMYFUNCTION("""COMPUTED_VALUE"""),"https://dblp.org/db/conf/sisap/index.html")</f>
        <v>https://dblp.org/db/conf/sisap/index.html</v>
      </c>
    </row>
    <row r="36">
      <c r="A36" s="68" t="str">
        <f>IFERROR(__xludf.DUMMYFUNCTION("""COMPUTED_VALUE"""),"Eventos da Área")</f>
        <v>Eventos da Área</v>
      </c>
      <c r="B36" s="213" t="str">
        <f>IFERROR(__xludf.DUMMYFUNCTION("""COMPUTED_VALUE"""),"CBMS")</f>
        <v>CBMS</v>
      </c>
      <c r="C36" s="213" t="str">
        <f>IFERROR(__xludf.DUMMYFUNCTION("""COMPUTED_VALUE"""),"IEEE International Symposium on Computer-Based Medical Systems")</f>
        <v>IEEE International Symposium on Computer-Based Medical Systems</v>
      </c>
      <c r="D36" s="218">
        <f>IFERROR(__xludf.DUMMYFUNCTION("""COMPUTED_VALUE"""),25.0)</f>
        <v>25</v>
      </c>
      <c r="E36" s="16" t="str">
        <f>IFERROR(__xludf.DUMMYFUNCTION("""COMPUTED_VALUE"""),"https://scholar.google.com.br/citations?hl=pt-BR&amp;view_op=list_hcore&amp;venue=cFvi1RZjX1gJ.2024")</f>
        <v>https://scholar.google.com.br/citations?hl=pt-BR&amp;view_op=list_hcore&amp;venue=cFvi1RZjX1gJ.2024</v>
      </c>
      <c r="F36" s="217"/>
      <c r="H36" t="str">
        <f>IFERROR(__xludf.DUMMYFUNCTION("""COMPUTED_VALUE"""),"IEEE Symposium on Computer-Based Medical Systems")</f>
        <v>IEEE Symposium on Computer-Based Medical Systems</v>
      </c>
      <c r="I36" s="60" t="str">
        <f>IFERROR(__xludf.DUMMYFUNCTION("""COMPUTED_VALUE"""),"https://dblp.org/db/conf/cbms/index.html")</f>
        <v>https://dblp.org/db/conf/cbms/index.html</v>
      </c>
    </row>
    <row r="37">
      <c r="A37" s="68" t="str">
        <f>IFERROR(__xludf.DUMMYFUNCTION("""COMPUTED_VALUE"""),"Eventos da Área")</f>
        <v>Eventos da Área</v>
      </c>
      <c r="B37" s="213" t="str">
        <f>IFERROR(__xludf.DUMMYFUNCTION("""COMPUTED_VALUE"""),"SDM")</f>
        <v>SDM</v>
      </c>
      <c r="C37" s="213" t="str">
        <f>IFERROR(__xludf.DUMMYFUNCTION("""COMPUTED_VALUE"""),"SIAM International Conference on Data Mining")</f>
        <v>SIAM International Conference on Data Mining</v>
      </c>
      <c r="D37" s="218">
        <f>IFERROR(__xludf.DUMMYFUNCTION("""COMPUTED_VALUE"""),36.0)</f>
        <v>36</v>
      </c>
      <c r="E37" s="16" t="str">
        <f>IFERROR(__xludf.DUMMYFUNCTION("""COMPUTED_VALUE"""),"https://scholar.google.com.br/citations?hl=pt-BR&amp;view_op=list_hcore&amp;venue=eM05sD1nEv4J.2024")</f>
        <v>https://scholar.google.com.br/citations?hl=pt-BR&amp;view_op=list_hcore&amp;venue=eM05sD1nEv4J.2024</v>
      </c>
      <c r="F37" s="217"/>
      <c r="I37" s="60" t="str">
        <f>IFERROR(__xludf.DUMMYFUNCTION("""COMPUTED_VALUE"""),"https://dblp.org/db/conf/sdm/index.html")</f>
        <v>https://dblp.org/db/conf/sdm/index.html</v>
      </c>
    </row>
    <row r="38">
      <c r="A38" s="68" t="str">
        <f>IFERROR(__xludf.DUMMYFUNCTION("""COMPUTED_VALUE"""),"Eventos da Área")</f>
        <v>Eventos da Área</v>
      </c>
      <c r="B38" s="213" t="str">
        <f>IFERROR(__xludf.DUMMYFUNCTION("""COMPUTED_VALUE"""),"ICDM")</f>
        <v>ICDM</v>
      </c>
      <c r="C38" s="213" t="str">
        <f>IFERROR(__xludf.DUMMYFUNCTION("""COMPUTED_VALUE"""),"IEEE International Conference on Data Mining")</f>
        <v>IEEE International Conference on Data Mining</v>
      </c>
      <c r="D38" s="214">
        <f>IFERROR(__xludf.DUMMYFUNCTION("""COMPUTED_VALUE"""),50.0)</f>
        <v>50</v>
      </c>
      <c r="E38" s="16" t="str">
        <f>IFERROR(__xludf.DUMMYFUNCTION("""COMPUTED_VALUE"""),"https://scholar.google.com.br/citations?hl=pt-BR&amp;view_op=list_hcore&amp;venue=A0l3VPFKwDYJ.2024")</f>
        <v>https://scholar.google.com.br/citations?hl=pt-BR&amp;view_op=list_hcore&amp;venue=A0l3VPFKwDYJ.2024</v>
      </c>
      <c r="F38" s="217"/>
      <c r="I38" s="60" t="str">
        <f>IFERROR(__xludf.DUMMYFUNCTION("""COMPUTED_VALUE"""),"https://dblp.org/db/conf/icdm/index.html")</f>
        <v>https://dblp.org/db/conf/icdm/index.html</v>
      </c>
    </row>
    <row r="39">
      <c r="A39" s="68" t="str">
        <f>IFERROR(__xludf.DUMMYFUNCTION("""COMPUTED_VALUE"""),"Eventos da Área")</f>
        <v>Eventos da Área</v>
      </c>
      <c r="B39" s="225" t="str">
        <f>IFERROR(__xludf.DUMMYFUNCTION("""COMPUTED_VALUE"""),"ISM")</f>
        <v>ISM</v>
      </c>
      <c r="C39" s="213" t="str">
        <f>IFERROR(__xludf.DUMMYFUNCTION("""COMPUTED_VALUE"""),"IEEE International Symposium on Multimedia")</f>
        <v>IEEE International Symposium on Multimedia</v>
      </c>
      <c r="D39" s="214">
        <f>IFERROR(__xludf.DUMMYFUNCTION("""COMPUTED_VALUE"""),15.0)</f>
        <v>15</v>
      </c>
      <c r="E39" s="16" t="str">
        <f>IFERROR(__xludf.DUMMYFUNCTION("""COMPUTED_VALUE"""),"https://scholar.google.com.br/citations?hl=pt-BR&amp;view_op=list_hcore&amp;venue=np9OvZCkWLIJ.2024")</f>
        <v>https://scholar.google.com.br/citations?hl=pt-BR&amp;view_op=list_hcore&amp;venue=np9OvZCkWLIJ.2024</v>
      </c>
      <c r="F39" s="217"/>
      <c r="I39" s="60" t="str">
        <f>IFERROR(__xludf.DUMMYFUNCTION("""COMPUTED_VALUE"""),"https://dblp.org/db/conf/ism/index.html")</f>
        <v>https://dblp.org/db/conf/ism/index.html</v>
      </c>
    </row>
    <row r="40">
      <c r="A40" s="68" t="str">
        <f>IFERROR(__xludf.DUMMYFUNCTION("""COMPUTED_VALUE"""),"Eventos da Área")</f>
        <v>Eventos da Área</v>
      </c>
      <c r="B40" s="226" t="str">
        <f>IFERROR(__xludf.DUMMYFUNCTION("""COMPUTED_VALUE"""),"ICWSM")</f>
        <v>ICWSM</v>
      </c>
      <c r="C40" s="213" t="str">
        <f>IFERROR(__xludf.DUMMYFUNCTION("""COMPUTED_VALUE"""),"International AAAI Conference on Web and Social Media")</f>
        <v>International AAAI Conference on Web and Social Media</v>
      </c>
      <c r="D40" s="214">
        <f>IFERROR(__xludf.DUMMYFUNCTION("""COMPUTED_VALUE"""),56.0)</f>
        <v>56</v>
      </c>
      <c r="E40" s="16" t="str">
        <f>IFERROR(__xludf.DUMMYFUNCTION("""COMPUTED_VALUE"""),"https://scholar.google.com.br/citations?hl=pt-BR&amp;view_op=list_hcore&amp;venue=eH4qSzdbVtwJ.2024")</f>
        <v>https://scholar.google.com.br/citations?hl=pt-BR&amp;view_op=list_hcore&amp;venue=eH4qSzdbVtwJ.2024</v>
      </c>
      <c r="F40" s="217"/>
      <c r="H40" t="str">
        <f>IFERROR(__xludf.DUMMYFUNCTION("""COMPUTED_VALUE"""),"International Conference on Web and Social Media")</f>
        <v>International Conference on Web and Social Media</v>
      </c>
      <c r="I40" s="60" t="str">
        <f>IFERROR(__xludf.DUMMYFUNCTION("""COMPUTED_VALUE"""),"https://dblp.org/db/conf/icwsm/index.html")</f>
        <v>https://dblp.org/db/conf/icwsm/index.html</v>
      </c>
    </row>
    <row r="41">
      <c r="A41" s="68" t="str">
        <f>IFERROR(__xludf.DUMMYFUNCTION("""COMPUTED_VALUE"""),"Eventos da Área")</f>
        <v>Eventos da Área</v>
      </c>
      <c r="B41" s="213" t="str">
        <f>IFERROR(__xludf.DUMMYFUNCTION("""COMPUTED_VALUE"""),"SIGIR")</f>
        <v>SIGIR</v>
      </c>
      <c r="C41" s="213" t="str">
        <f>IFERROR(__xludf.DUMMYFUNCTION("""COMPUTED_VALUE"""),"ACM SIGIR Conference on Research and Development in Information Retrieval")</f>
        <v>ACM SIGIR Conference on Research and Development in Information Retrieval</v>
      </c>
      <c r="D41" s="218">
        <f>IFERROR(__xludf.DUMMYFUNCTION("""COMPUTED_VALUE"""),103.0)</f>
        <v>103</v>
      </c>
      <c r="E41" s="16" t="str">
        <f>IFERROR(__xludf.DUMMYFUNCTION("""COMPUTED_VALUE"""),"https://scholar.google.com.br/citations?hl=pt-BR&amp;view_op=list_hcore&amp;venue=Gf4FWVmkfbwJ.2024")</f>
        <v>https://scholar.google.com.br/citations?hl=pt-BR&amp;view_op=list_hcore&amp;venue=Gf4FWVmkfbwJ.2024</v>
      </c>
      <c r="F41" s="217"/>
      <c r="I41" s="60" t="str">
        <f>IFERROR(__xludf.DUMMYFUNCTION("""COMPUTED_VALUE"""),"https://dblp.org/db/conf/sigir/index.html")</f>
        <v>https://dblp.org/db/conf/sigir/index.html</v>
      </c>
    </row>
    <row r="42">
      <c r="A42" s="68" t="str">
        <f>IFERROR(__xludf.DUMMYFUNCTION("""COMPUTED_VALUE"""),"Eventos da Área")</f>
        <v>Eventos da Área</v>
      </c>
      <c r="B42" s="213" t="str">
        <f>IFERROR(__xludf.DUMMYFUNCTION("""COMPUTED_VALUE"""),"RECSYS")</f>
        <v>RECSYS</v>
      </c>
      <c r="C42" s="213" t="str">
        <f>IFERROR(__xludf.DUMMYFUNCTION("""COMPUTED_VALUE"""),"ACM Conference on Recommender Systems")</f>
        <v>ACM Conference on Recommender Systems</v>
      </c>
      <c r="D42" s="218">
        <f>IFERROR(__xludf.DUMMYFUNCTION("""COMPUTED_VALUE"""),53.0)</f>
        <v>53</v>
      </c>
      <c r="E42" s="16" t="str">
        <f>IFERROR(__xludf.DUMMYFUNCTION("""COMPUTED_VALUE"""),"https://scholar.google.com.br/citations?hl=pt-BR&amp;view_op=list_hcore&amp;venue=4-w_STT7RmEJ.2024")</f>
        <v>https://scholar.google.com.br/citations?hl=pt-BR&amp;view_op=list_hcore&amp;venue=4-w_STT7RmEJ.2024</v>
      </c>
      <c r="F42" s="217"/>
      <c r="I42" s="60" t="str">
        <f>IFERROR(__xludf.DUMMYFUNCTION("""COMPUTED_VALUE"""),"https://dblp.org/db/conf/recsys/index.html")</f>
        <v>https://dblp.org/db/conf/recsys/index.html</v>
      </c>
    </row>
    <row r="43">
      <c r="A43" s="68" t="str">
        <f>IFERROR(__xludf.DUMMYFUNCTION("""COMPUTED_VALUE"""),"Eventos da Área")</f>
        <v>Eventos da Área</v>
      </c>
      <c r="B43" s="213" t="str">
        <f>IFERROR(__xludf.DUMMYFUNCTION("""COMPUTED_VALUE"""),"ESWC")</f>
        <v>ESWC</v>
      </c>
      <c r="C43" s="213" t="str">
        <f>IFERROR(__xludf.DUMMYFUNCTION("""COMPUTED_VALUE"""),"Extended Semantic Web Conference")</f>
        <v>Extended Semantic Web Conference</v>
      </c>
      <c r="D43" s="218">
        <f>IFERROR(__xludf.DUMMYFUNCTION("""COMPUTED_VALUE"""),28.0)</f>
        <v>28</v>
      </c>
      <c r="E43" s="16" t="str">
        <f>IFERROR(__xludf.DUMMYFUNCTION("""COMPUTED_VALUE"""),"https://scholar.google.com.br/citations?hl=pt-BR&amp;view_op=list_hcore&amp;venue=mf0MeYwvqwoJ.2024")</f>
        <v>https://scholar.google.com.br/citations?hl=pt-BR&amp;view_op=list_hcore&amp;venue=mf0MeYwvqwoJ.2024</v>
      </c>
      <c r="F43" s="217"/>
      <c r="I43" s="60" t="str">
        <f>IFERROR(__xludf.DUMMYFUNCTION("""COMPUTED_VALUE"""),"https://dblp.org/db/conf/esws/index.html")</f>
        <v>https://dblp.org/db/conf/esws/index.html</v>
      </c>
    </row>
    <row r="44">
      <c r="A44" s="68" t="str">
        <f>IFERROR(__xludf.DUMMYFUNCTION("""COMPUTED_VALUE"""),"Eventos da Área")</f>
        <v>Eventos da Área</v>
      </c>
      <c r="B44" s="213" t="str">
        <f>IFERROR(__xludf.DUMMYFUNCTION("""COMPUTED_VALUE"""),"ECIR")</f>
        <v>ECIR</v>
      </c>
      <c r="C44" s="227" t="str">
        <f>IFERROR(__xludf.DUMMYFUNCTION("""COMPUTED_VALUE"""),"European Conference on Information Retrieval")</f>
        <v>European Conference on Information Retrieval</v>
      </c>
      <c r="D44" s="218">
        <f>IFERROR(__xludf.DUMMYFUNCTION("""COMPUTED_VALUE"""),42.0)</f>
        <v>42</v>
      </c>
      <c r="E44" s="16" t="str">
        <f>IFERROR(__xludf.DUMMYFUNCTION("""COMPUTED_VALUE"""),"https://scholar.google.com.br/citations?hl=pt-BR&amp;view_op=list_hcore&amp;venue=02SGYBvIz80J.2024")</f>
        <v>https://scholar.google.com.br/citations?hl=pt-BR&amp;view_op=list_hcore&amp;venue=02SGYBvIz80J.2024</v>
      </c>
      <c r="F44" s="217"/>
      <c r="I44" s="60" t="str">
        <f>IFERROR(__xludf.DUMMYFUNCTION("""COMPUTED_VALUE"""),"https://dblp.org/db/conf/ecir/index.html")</f>
        <v>https://dblp.org/db/conf/ecir/index.html</v>
      </c>
    </row>
    <row r="45">
      <c r="A45" s="68" t="str">
        <f>IFERROR(__xludf.DUMMYFUNCTION("""COMPUTED_VALUE"""),"Eventos da Área")</f>
        <v>Eventos da Área</v>
      </c>
      <c r="B45" s="213" t="str">
        <f>IFERROR(__xludf.DUMMYFUNCTION("""COMPUTED_VALUE"""),"ECIS")</f>
        <v>ECIS</v>
      </c>
      <c r="C45" s="213" t="str">
        <f>IFERROR(__xludf.DUMMYFUNCTION("""COMPUTED_VALUE"""),"European Conference on Information Systems")</f>
        <v>European Conference on Information Systems</v>
      </c>
      <c r="D45" s="218">
        <f>IFERROR(__xludf.DUMMYFUNCTION("""COMPUTED_VALUE"""),39.0)</f>
        <v>39</v>
      </c>
      <c r="E45" s="16" t="str">
        <f>IFERROR(__xludf.DUMMYFUNCTION("""COMPUTED_VALUE"""),"https://scholar.google.com.br/citations?hl=pt-BR&amp;view_op=list_hcore&amp;venue=dF8xpB0_PnwJ.2024")</f>
        <v>https://scholar.google.com.br/citations?hl=pt-BR&amp;view_op=list_hcore&amp;venue=dF8xpB0_PnwJ.2024</v>
      </c>
      <c r="F45" s="217"/>
      <c r="I45" s="60" t="str">
        <f>IFERROR(__xludf.DUMMYFUNCTION("""COMPUTED_VALUE"""),"https://dblp.org/db/conf/ecis/index.html")</f>
        <v>https://dblp.org/db/conf/ecis/index.html</v>
      </c>
    </row>
    <row r="46">
      <c r="A46" s="68" t="str">
        <f>IFERROR(__xludf.DUMMYFUNCTION("""COMPUTED_VALUE"""),"Eventos da Área")</f>
        <v>Eventos da Área</v>
      </c>
      <c r="B46" s="213" t="str">
        <f>IFERROR(__xludf.DUMMYFUNCTION("""COMPUTED_VALUE"""),"ECML")</f>
        <v>ECML</v>
      </c>
      <c r="C46" s="213" t="str">
        <f>IFERROR(__xludf.DUMMYFUNCTION("""COMPUTED_VALUE"""),"European Conference on Machine Learning and Principles and Practice of Knowledge Discovery in Databases")</f>
        <v>European Conference on Machine Learning and Principles and Practice of Knowledge Discovery in Databases</v>
      </c>
      <c r="D46" s="218">
        <f>IFERROR(__xludf.DUMMYFUNCTION("""COMPUTED_VALUE"""),45.0)</f>
        <v>45</v>
      </c>
      <c r="E46" s="16" t="str">
        <f>IFERROR(__xludf.DUMMYFUNCTION("""COMPUTED_VALUE"""),"https://scholar.google.com.br/citations?hl=pt-BR&amp;view_op=list_hcore&amp;venue=B_DfwWWmEnMJ.2024")</f>
        <v>https://scholar.google.com.br/citations?hl=pt-BR&amp;view_op=list_hcore&amp;venue=B_DfwWWmEnMJ.2024</v>
      </c>
      <c r="F46" s="217"/>
      <c r="I46" s="60" t="str">
        <f>IFERROR(__xludf.DUMMYFUNCTION("""COMPUTED_VALUE"""),"https://dblp.org/db/conf/ecml/index.html")</f>
        <v>https://dblp.org/db/conf/ecml/index.html</v>
      </c>
    </row>
    <row r="47">
      <c r="A47" s="68" t="str">
        <f>IFERROR(__xludf.DUMMYFUNCTION("""COMPUTED_VALUE"""),"Eventos da Área")</f>
        <v>Eventos da Área</v>
      </c>
      <c r="B47" s="213" t="str">
        <f>IFERROR(__xludf.DUMMYFUNCTION("""COMPUTED_VALUE"""),"WSDM")</f>
        <v>WSDM</v>
      </c>
      <c r="C47" s="213" t="str">
        <f>IFERROR(__xludf.DUMMYFUNCTION("""COMPUTED_VALUE"""),"ACM Conference International Conference on Web Search and Data Mining")</f>
        <v>ACM Conference International Conference on Web Search and Data Mining</v>
      </c>
      <c r="D47" s="218">
        <f>IFERROR(__xludf.DUMMYFUNCTION("""COMPUTED_VALUE"""),77.0)</f>
        <v>77</v>
      </c>
      <c r="E47" s="16" t="str">
        <f>IFERROR(__xludf.DUMMYFUNCTION("""COMPUTED_VALUE"""),"https://scholar.google.com.br/citations?hl=pt-BR&amp;view_op=list_hcore&amp;venue=6AbX1YWluE4J.2024")</f>
        <v>https://scholar.google.com.br/citations?hl=pt-BR&amp;view_op=list_hcore&amp;venue=6AbX1YWluE4J.2024</v>
      </c>
      <c r="F47" s="217"/>
      <c r="I47" s="60" t="str">
        <f>IFERROR(__xludf.DUMMYFUNCTION("""COMPUTED_VALUE"""),"https://dblp.org/db/conf/wsdm/index.html")</f>
        <v>https://dblp.org/db/conf/wsdm/index.html</v>
      </c>
    </row>
    <row r="48">
      <c r="A48" s="68" t="str">
        <f>IFERROR(__xludf.DUMMYFUNCTION("""COMPUTED_VALUE"""),"Eventos da Área")</f>
        <v>Eventos da Área</v>
      </c>
      <c r="B48" s="213" t="str">
        <f>IFERROR(__xludf.DUMMYFUNCTION("""COMPUTED_VALUE"""),"PAKDD")</f>
        <v>PAKDD</v>
      </c>
      <c r="C48" s="213" t="str">
        <f>IFERROR(__xludf.DUMMYFUNCTION("""COMPUTED_VALUE"""),"Pacific-Asia Conference on Knowledge Discovery and Data Mining")</f>
        <v>Pacific-Asia Conference on Knowledge Discovery and Data Mining</v>
      </c>
      <c r="D48" s="218">
        <f>IFERROR(__xludf.DUMMYFUNCTION("""COMPUTED_VALUE"""),30.0)</f>
        <v>30</v>
      </c>
      <c r="E48" s="16" t="str">
        <f>IFERROR(__xludf.DUMMYFUNCTION("""COMPUTED_VALUE"""),"https://scholar.google.com.br/citations?hl=pt-BR&amp;view_op=list_hcore&amp;venue=I9UJ598p80sJ.2024")</f>
        <v>https://scholar.google.com.br/citations?hl=pt-BR&amp;view_op=list_hcore&amp;venue=I9UJ598p80sJ.2024</v>
      </c>
      <c r="F48" s="217"/>
      <c r="I48" s="60" t="str">
        <f>IFERROR(__xludf.DUMMYFUNCTION("""COMPUTED_VALUE"""),"https://dblp.org/db/conf/pakdd/index.html")</f>
        <v>https://dblp.org/db/conf/pakdd/index.html</v>
      </c>
    </row>
    <row r="49">
      <c r="A49" s="68" t="str">
        <f>IFERROR(__xludf.DUMMYFUNCTION("""COMPUTED_VALUE"""),"Eventos da Área")</f>
        <v>Eventos da Área</v>
      </c>
      <c r="B49" s="213" t="str">
        <f>IFERROR(__xludf.DUMMYFUNCTION("""COMPUTED_VALUE"""),"BIGDATA")</f>
        <v>BIGDATA</v>
      </c>
      <c r="C49" s="213" t="str">
        <f>IFERROR(__xludf.DUMMYFUNCTION("""COMPUTED_VALUE"""),"IEEE International Conference on BigData")</f>
        <v>IEEE International Conference on BigData</v>
      </c>
      <c r="D49" s="218">
        <f>IFERROR(__xludf.DUMMYFUNCTION("""COMPUTED_VALUE"""),54.0)</f>
        <v>54</v>
      </c>
      <c r="E49" s="16" t="str">
        <f>IFERROR(__xludf.DUMMYFUNCTION("""COMPUTED_VALUE"""),"https://scholar.google.com.br/citations?hl=pt-BR&amp;view_op=list_hcore&amp;venue=5qcbaE0D5owJ.2024")</f>
        <v>https://scholar.google.com.br/citations?hl=pt-BR&amp;view_op=list_hcore&amp;venue=5qcbaE0D5owJ.2024</v>
      </c>
      <c r="F49" s="217"/>
      <c r="I49" s="60" t="str">
        <f>IFERROR(__xludf.DUMMYFUNCTION("""COMPUTED_VALUE"""),"https://dblp.org/db/conf/bigdataconf/index.html")</f>
        <v>https://dblp.org/db/conf/bigdataconf/index.html</v>
      </c>
    </row>
    <row r="50">
      <c r="A50" s="68" t="str">
        <f>IFERROR(__xludf.DUMMYFUNCTION("""COMPUTED_VALUE"""),"Eventos da Área")</f>
        <v>Eventos da Área</v>
      </c>
      <c r="B50" s="213" t="str">
        <f>IFERROR(__xludf.DUMMYFUNCTION("""COMPUTED_VALUE"""),"AMW")</f>
        <v>AMW</v>
      </c>
      <c r="C50" s="213" t="str">
        <f>IFERROR(__xludf.DUMMYFUNCTION("""COMPUTED_VALUE"""),"Alberto Mendelzon International Workshop on Foundations of Data Management")</f>
        <v>Alberto Mendelzon International Workshop on Foundations of Data Management</v>
      </c>
      <c r="D50" s="218">
        <f>IFERROR(__xludf.DUMMYFUNCTION("""COMPUTED_VALUE"""),10.0)</f>
        <v>10</v>
      </c>
      <c r="E50" s="16" t="str">
        <f>IFERROR(__xludf.DUMMYFUNCTION("""COMPUTED_VALUE"""),"https://scholar.google.com/citations?hl=en&amp;view_op=list_hcore&amp;venue=SD0zxFP7qD4J.2018")</f>
        <v>https://scholar.google.com/citations?hl=en&amp;view_op=list_hcore&amp;venue=SD0zxFP7qD4J.2018</v>
      </c>
      <c r="F50" s="217"/>
      <c r="I50" s="60" t="str">
        <f>IFERROR(__xludf.DUMMYFUNCTION("""COMPUTED_VALUE"""),"https://dblp.org/db/conf/amw/index.html")</f>
        <v>https://dblp.org/db/conf/amw/index.html</v>
      </c>
    </row>
    <row r="51">
      <c r="A51" s="68" t="str">
        <f>IFERROR(__xludf.DUMMYFUNCTION("""COMPUTED_VALUE"""),"Eventos da Área")</f>
        <v>Eventos da Área</v>
      </c>
      <c r="B51" s="213" t="str">
        <f>IFERROR(__xludf.DUMMYFUNCTION("""COMPUTED_VALUE"""),"CIDM")</f>
        <v>CIDM</v>
      </c>
      <c r="C51" s="213" t="str">
        <f>IFERROR(__xludf.DUMMYFUNCTION("""COMPUTED_VALUE"""),"Symposium on Computational Intelligence and Data Mining")</f>
        <v>Symposium on Computational Intelligence and Data Mining</v>
      </c>
      <c r="D51" s="223">
        <f>IFERROR(__xludf.DUMMYFUNCTION("""COMPUTED_VALUE"""),12.0)</f>
        <v>12</v>
      </c>
      <c r="E51" s="16" t="str">
        <f>IFERROR(__xludf.DUMMYFUNCTION("""COMPUTED_VALUE"""),"https://scholar.google.com/citations?hl=en&amp;view_op=list_hcore&amp;venue=hX0wD_ieYvEJ.2018")</f>
        <v>https://scholar.google.com/citations?hl=en&amp;view_op=list_hcore&amp;venue=hX0wD_ieYvEJ.2018</v>
      </c>
      <c r="F51" s="217"/>
      <c r="I51" s="60" t="str">
        <f>IFERROR(__xludf.DUMMYFUNCTION("""COMPUTED_VALUE"""),"https://dblp.org/db/conf/cidm/index.html")</f>
        <v>https://dblp.org/db/conf/cidm/index.html</v>
      </c>
    </row>
    <row r="52">
      <c r="A52" s="68" t="str">
        <f>IFERROR(__xludf.DUMMYFUNCTION("""COMPUTED_VALUE"""),"Eventos da Área")</f>
        <v>Eventos da Área</v>
      </c>
      <c r="B52" s="213" t="str">
        <f>IFERROR(__xludf.DUMMYFUNCTION("""COMPUTED_VALUE"""),"DAWAK")</f>
        <v>DAWAK</v>
      </c>
      <c r="C52" s="213" t="str">
        <f>IFERROR(__xludf.DUMMYFUNCTION("""COMPUTED_VALUE"""),"International Conference on Big Data Analytics and Knowledge Discovery")</f>
        <v>International Conference on Big Data Analytics and Knowledge Discovery</v>
      </c>
      <c r="D52" s="218">
        <f>IFERROR(__xludf.DUMMYFUNCTION("""COMPUTED_VALUE"""),12.0)</f>
        <v>12</v>
      </c>
      <c r="E52" s="16" t="str">
        <f>IFERROR(__xludf.DUMMYFUNCTION("""COMPUTED_VALUE"""),"https://scholar.google.com.br/citations?hl=pt-BR&amp;view_op=list_hcore&amp;venue=ZQqJjlSjnxAJ.2024")</f>
        <v>https://scholar.google.com.br/citations?hl=pt-BR&amp;view_op=list_hcore&amp;venue=ZQqJjlSjnxAJ.2024</v>
      </c>
      <c r="F52" s="217"/>
      <c r="H52" t="str">
        <f>IFERROR(__xludf.DUMMYFUNCTION("""COMPUTED_VALUE"""),"International Conference on Data Warehousing and Knowledge Discovery")</f>
        <v>International Conference on Data Warehousing and Knowledge Discovery</v>
      </c>
      <c r="I52" s="60" t="str">
        <f>IFERROR(__xludf.DUMMYFUNCTION("""COMPUTED_VALUE"""),"https://dblp.org/db/conf/dawak/index.html")</f>
        <v>https://dblp.org/db/conf/dawak/index.html</v>
      </c>
    </row>
    <row r="53">
      <c r="A53" s="68" t="str">
        <f>IFERROR(__xludf.DUMMYFUNCTION("""COMPUTED_VALUE"""),"Eventos da Área")</f>
        <v>Eventos da Área</v>
      </c>
      <c r="B53" s="213" t="str">
        <f>IFERROR(__xludf.DUMMYFUNCTION("""COMPUTED_VALUE"""),"DOLAP")</f>
        <v>DOLAP</v>
      </c>
      <c r="C53" s="216" t="str">
        <f>IFERROR(__xludf.DUMMYFUNCTION("""COMPUTED_VALUE"""),"International Workshop On Data Warehousing and OLAP")</f>
        <v>International Workshop On Data Warehousing and OLAP</v>
      </c>
      <c r="D53" s="218"/>
      <c r="E53" s="16"/>
      <c r="F53" s="217"/>
      <c r="I53" s="60" t="str">
        <f>IFERROR(__xludf.DUMMYFUNCTION("""COMPUTED_VALUE"""),"https://dblp.org/db/conf/dolap/index.html")</f>
        <v>https://dblp.org/db/conf/dolap/index.html</v>
      </c>
    </row>
    <row r="54">
      <c r="A54" s="68" t="str">
        <f>IFERROR(__xludf.DUMMYFUNCTION("""COMPUTED_VALUE"""),"Eventos da Área")</f>
        <v>Eventos da Área</v>
      </c>
      <c r="B54" s="213" t="str">
        <f>IFERROR(__xludf.DUMMYFUNCTION("""COMPUTED_VALUE"""),"DOCENG")</f>
        <v>DOCENG</v>
      </c>
      <c r="C54" s="213" t="str">
        <f>IFERROR(__xludf.DUMMYFUNCTION("""COMPUTED_VALUE"""),"ACM Symposium on Document Engineering")</f>
        <v>ACM Symposium on Document Engineering</v>
      </c>
      <c r="D54" s="223">
        <f>IFERROR(__xludf.DUMMYFUNCTION("""COMPUTED_VALUE"""),13.0)</f>
        <v>13</v>
      </c>
      <c r="E54" s="16" t="str">
        <f>IFERROR(__xludf.DUMMYFUNCTION("""COMPUTED_VALUE"""),"https://scholar.google.com.br/citations?hl=pt-BR&amp;view_op=list_hcore&amp;venue=C6AfMlHpHa0J.2024")</f>
        <v>https://scholar.google.com.br/citations?hl=pt-BR&amp;view_op=list_hcore&amp;venue=C6AfMlHpHa0J.2024</v>
      </c>
      <c r="F54" s="217"/>
      <c r="H54" t="str">
        <f>IFERROR(__xludf.DUMMYFUNCTION("""COMPUTED_VALUE"""),"ACM SIGWEB International Symposium on Document Engineering")</f>
        <v>ACM SIGWEB International Symposium on Document Engineering</v>
      </c>
      <c r="I54" s="60" t="str">
        <f>IFERROR(__xludf.DUMMYFUNCTION("""COMPUTED_VALUE"""),"https://dblp.org/db/conf/doceng/index.html")</f>
        <v>https://dblp.org/db/conf/doceng/index.html</v>
      </c>
    </row>
    <row r="55">
      <c r="A55" s="68" t="str">
        <f>IFERROR(__xludf.DUMMYFUNCTION("""COMPUTED_VALUE"""),"Eventos da Área")</f>
        <v>Eventos da Área</v>
      </c>
      <c r="B55" s="213" t="str">
        <f>IFERROR(__xludf.DUMMYFUNCTION("""COMPUTED_VALUE"""),"ICSOFT")</f>
        <v>ICSOFT</v>
      </c>
      <c r="C55" s="213" t="str">
        <f>IFERROR(__xludf.DUMMYFUNCTION("""COMPUTED_VALUE"""),"International Conference on Software Technologies")</f>
        <v>International Conference on Software Technologies</v>
      </c>
      <c r="D55" s="223">
        <f>IFERROR(__xludf.DUMMYFUNCTION("""COMPUTED_VALUE"""),13.0)</f>
        <v>13</v>
      </c>
      <c r="E55" s="16" t="str">
        <f>IFERROR(__xludf.DUMMYFUNCTION("""COMPUTED_VALUE"""),"https://scholar.google.com.br/citations?hl=pt-BR&amp;view_op=list_hcore&amp;venue=3zneIArE2G0J.2024")</f>
        <v>https://scholar.google.com.br/citations?hl=pt-BR&amp;view_op=list_hcore&amp;venue=3zneIArE2G0J.2024</v>
      </c>
      <c r="F55" s="217"/>
      <c r="I55" s="60" t="str">
        <f>IFERROR(__xludf.DUMMYFUNCTION("""COMPUTED_VALUE"""),"https://dblp.org/db/conf/icsoft/index.html")</f>
        <v>https://dblp.org/db/conf/icsoft/index.html</v>
      </c>
    </row>
    <row r="56">
      <c r="A56" s="68" t="str">
        <f>IFERROR(__xludf.DUMMYFUNCTION("""COMPUTED_VALUE"""),"Eventos da Área")</f>
        <v>Eventos da Área</v>
      </c>
      <c r="B56" s="213" t="str">
        <f>IFERROR(__xludf.DUMMYFUNCTION("""COMPUTED_VALUE"""),"SSTD")</f>
        <v>SSTD</v>
      </c>
      <c r="C56" s="213" t="str">
        <f>IFERROR(__xludf.DUMMYFUNCTION("""COMPUTED_VALUE"""),"International Symposium on Spatial and Temporal Databases")</f>
        <v>International Symposium on Spatial and Temporal Databases</v>
      </c>
      <c r="D56" s="218"/>
      <c r="E56" s="16"/>
      <c r="F56" s="217"/>
      <c r="I56" s="60" t="str">
        <f>IFERROR(__xludf.DUMMYFUNCTION("""COMPUTED_VALUE"""),"https://dblp.org/db/conf/ssd/index.html")</f>
        <v>https://dblp.org/db/conf/ssd/index.html</v>
      </c>
    </row>
    <row r="57">
      <c r="A57" s="68" t="str">
        <f>IFERROR(__xludf.DUMMYFUNCTION("""COMPUTED_VALUE"""),"Eventos da Área")</f>
        <v>Eventos da Área</v>
      </c>
      <c r="B57" s="213" t="str">
        <f>IFERROR(__xludf.DUMMYFUNCTION("""COMPUTED_VALUE"""),"MTSR")</f>
        <v>MTSR</v>
      </c>
      <c r="C57" s="213" t="str">
        <f>IFERROR(__xludf.DUMMYFUNCTION("""COMPUTED_VALUE"""),"International Conference on Metadata and Semantics Research")</f>
        <v>International Conference on Metadata and Semantics Research</v>
      </c>
      <c r="D57" s="218">
        <f>IFERROR(__xludf.DUMMYFUNCTION("""COMPUTED_VALUE"""),11.0)</f>
        <v>11</v>
      </c>
      <c r="E57" s="16" t="str">
        <f>IFERROR(__xludf.DUMMYFUNCTION("""COMPUTED_VALUE"""),"https://scholar.google.com.br/citations?hl=pt-BR&amp;view_op=list_hcore&amp;venue=nypTAZp7Yo8J.2024")</f>
        <v>https://scholar.google.com.br/citations?hl=pt-BR&amp;view_op=list_hcore&amp;venue=nypTAZp7Yo8J.2024</v>
      </c>
      <c r="F57" s="217"/>
      <c r="I57" s="60" t="str">
        <f>IFERROR(__xludf.DUMMYFUNCTION("""COMPUTED_VALUE"""),"https://dblp.org/db/conf/mtsr/index.html")</f>
        <v>https://dblp.org/db/conf/mtsr/index.html</v>
      </c>
    </row>
    <row r="58">
      <c r="A58" s="68" t="str">
        <f>IFERROR(__xludf.DUMMYFUNCTION("""COMPUTED_VALUE"""),"Eventos da Área")</f>
        <v>Eventos da Área</v>
      </c>
      <c r="B58" s="213" t="str">
        <f>IFERROR(__xludf.DUMMYFUNCTION("""COMPUTED_VALUE"""),"ICIS")</f>
        <v>ICIS</v>
      </c>
      <c r="C58" s="213" t="str">
        <f>IFERROR(__xludf.DUMMYFUNCTION("""COMPUTED_VALUE"""),"International Conference on Information Systems")</f>
        <v>International Conference on Information Systems</v>
      </c>
      <c r="D58" s="218">
        <f>IFERROR(__xludf.DUMMYFUNCTION("""COMPUTED_VALUE"""),39.0)</f>
        <v>39</v>
      </c>
      <c r="E58" s="16" t="str">
        <f>IFERROR(__xludf.DUMMYFUNCTION("""COMPUTED_VALUE"""),"https://scholar.google.com.br/citations?hl=pt-BR&amp;view_op=list_hcore&amp;venue=hL4tvEz50McJ.2024")</f>
        <v>https://scholar.google.com.br/citations?hl=pt-BR&amp;view_op=list_hcore&amp;venue=hL4tvEz50McJ.2024</v>
      </c>
      <c r="F58" s="217"/>
      <c r="I58" s="60" t="str">
        <f>IFERROR(__xludf.DUMMYFUNCTION("""COMPUTED_VALUE"""),"https://dblp.org/db/conf/icis/index.html")</f>
        <v>https://dblp.org/db/conf/icis/index.html</v>
      </c>
    </row>
    <row r="59">
      <c r="A59" s="68" t="str">
        <f>IFERROR(__xludf.DUMMYFUNCTION("""COMPUTED_VALUE"""),"Eventos da Área")</f>
        <v>Eventos da Área</v>
      </c>
      <c r="B59" s="213" t="str">
        <f>IFERROR(__xludf.DUMMYFUNCTION("""COMPUTED_VALUE"""),"AINA")</f>
        <v>AINA</v>
      </c>
      <c r="C59" s="213" t="str">
        <f>IFERROR(__xludf.DUMMYFUNCTION("""COMPUTED_VALUE"""),"IEEE International Conference on Advanced Information Networking and Applications")</f>
        <v>IEEE International Conference on Advanced Information Networking and Applications</v>
      </c>
      <c r="D59" s="218">
        <f>IFERROR(__xludf.DUMMYFUNCTION("""COMPUTED_VALUE"""),21.0)</f>
        <v>21</v>
      </c>
      <c r="E59" s="16" t="str">
        <f>IFERROR(__xludf.DUMMYFUNCTION("""COMPUTED_VALUE"""),"https://scholar.google.com.br/citations?hl=pt-BR&amp;view_op=list_hcore&amp;venue=FBp6ksxIdQYJ.2024")</f>
        <v>https://scholar.google.com.br/citations?hl=pt-BR&amp;view_op=list_hcore&amp;venue=FBp6ksxIdQYJ.2024</v>
      </c>
      <c r="F59" s="217"/>
      <c r="I59" s="60" t="str">
        <f>IFERROR(__xludf.DUMMYFUNCTION("""COMPUTED_VALUE"""),"https://dblp.org/db/conf/aina/index.html")</f>
        <v>https://dblp.org/db/conf/aina/index.html</v>
      </c>
    </row>
    <row r="60">
      <c r="A60" s="68" t="str">
        <f>IFERROR(__xludf.DUMMYFUNCTION("""COMPUTED_VALUE"""),"Eventos da Área")</f>
        <v>Eventos da Área</v>
      </c>
      <c r="B60" s="213" t="str">
        <f>IFERROR(__xludf.DUMMYFUNCTION("""COMPUTED_VALUE"""),"CAISE")</f>
        <v>CAISE</v>
      </c>
      <c r="C60" s="213" t="str">
        <f>IFERROR(__xludf.DUMMYFUNCTION("""COMPUTED_VALUE"""),"International Conference on Advanced Information Systems Engineering")</f>
        <v>International Conference on Advanced Information Systems Engineering</v>
      </c>
      <c r="D60" s="218">
        <f>IFERROR(__xludf.DUMMYFUNCTION("""COMPUTED_VALUE"""),27.0)</f>
        <v>27</v>
      </c>
      <c r="E60" s="16" t="str">
        <f>IFERROR(__xludf.DUMMYFUNCTION("""COMPUTED_VALUE"""),"https://scholar.google.com.br/citations?hl=pt-BR&amp;view_op=list_hcore&amp;venue=5PSS5xHm_KwJ.2024")</f>
        <v>https://scholar.google.com.br/citations?hl=pt-BR&amp;view_op=list_hcore&amp;venue=5PSS5xHm_KwJ.2024</v>
      </c>
      <c r="F60" s="217"/>
      <c r="I60" s="60" t="str">
        <f>IFERROR(__xludf.DUMMYFUNCTION("""COMPUTED_VALUE"""),"https://dblp.org/db/conf/caise/index.html")</f>
        <v>https://dblp.org/db/conf/caise/index.html</v>
      </c>
    </row>
    <row r="61">
      <c r="A61" s="68" t="str">
        <f>IFERROR(__xludf.DUMMYFUNCTION("""COMPUTED_VALUE"""),"Eventos da Área")</f>
        <v>Eventos da Área</v>
      </c>
      <c r="B61" s="213" t="str">
        <f>IFERROR(__xludf.DUMMYFUNCTION("""COMPUTED_VALUE"""),"CoopIS")</f>
        <v>CoopIS</v>
      </c>
      <c r="C61" s="213" t="str">
        <f>IFERROR(__xludf.DUMMYFUNCTION("""COMPUTED_VALUE"""),"International Conference on Cooperative Information Systems")</f>
        <v>International Conference on Cooperative Information Systems</v>
      </c>
      <c r="D61" s="223"/>
      <c r="E61" s="16"/>
      <c r="F61" s="224"/>
      <c r="I61" s="60" t="str">
        <f>IFERROR(__xludf.DUMMYFUNCTION("""COMPUTED_VALUE"""),"https://dblp.org/db/conf/coopis/index.html")</f>
        <v>https://dblp.org/db/conf/coopis/index.html</v>
      </c>
    </row>
    <row r="62">
      <c r="A62" s="68" t="str">
        <f>IFERROR(__xludf.DUMMYFUNCTION("""COMPUTED_VALUE"""),"Eventos da Área")</f>
        <v>Eventos da Área</v>
      </c>
      <c r="B62" s="213" t="str">
        <f>IFERROR(__xludf.DUMMYFUNCTION("""COMPUTED_VALUE"""),"ECIR")</f>
        <v>ECIR</v>
      </c>
      <c r="C62" s="213" t="str">
        <f>IFERROR(__xludf.DUMMYFUNCTION("""COMPUTED_VALUE"""),"European Conference on Information Retrieval")</f>
        <v>European Conference on Information Retrieval</v>
      </c>
      <c r="D62" s="218">
        <f>IFERROR(__xludf.DUMMYFUNCTION("""COMPUTED_VALUE"""),42.0)</f>
        <v>42</v>
      </c>
      <c r="E62" s="16" t="str">
        <f>IFERROR(__xludf.DUMMYFUNCTION("""COMPUTED_VALUE"""),"https://scholar.google.com.br/citations?hl=pt-BR&amp;view_op=list_hcore&amp;venue=02SGYBvIz80J.2024")</f>
        <v>https://scholar.google.com.br/citations?hl=pt-BR&amp;view_op=list_hcore&amp;venue=02SGYBvIz80J.2024</v>
      </c>
      <c r="F62" s="217"/>
      <c r="I62" s="60" t="str">
        <f>IFERROR(__xludf.DUMMYFUNCTION("""COMPUTED_VALUE"""),"https://dblp.org/db/conf/ecir/index.html")</f>
        <v>https://dblp.org/db/conf/ecir/index.html</v>
      </c>
    </row>
    <row r="63">
      <c r="A63" s="68" t="str">
        <f>IFERROR(__xludf.DUMMYFUNCTION("""COMPUTED_VALUE"""),"Eventos da Área")</f>
        <v>Eventos da Área</v>
      </c>
      <c r="B63" s="213" t="str">
        <f>IFERROR(__xludf.DUMMYFUNCTION("""COMPUTED_VALUE"""),"KES")</f>
        <v>KES</v>
      </c>
      <c r="C63" s="213" t="str">
        <f>IFERROR(__xludf.DUMMYFUNCTION("""COMPUTED_VALUE"""),"International Conference on Knowledge-Based and Intelligent Information &amp; Engineering Systems")</f>
        <v>International Conference on Knowledge-Based and Intelligent Information &amp; Engineering Systems</v>
      </c>
      <c r="D63" s="218"/>
      <c r="E63" s="16"/>
      <c r="F63" s="217"/>
      <c r="I63" s="60" t="str">
        <f>IFERROR(__xludf.DUMMYFUNCTION("""COMPUTED_VALUE"""),"https://dblp1.uni-trier.de/db/conf/kes/")</f>
        <v>https://dblp1.uni-trier.de/db/conf/kes/</v>
      </c>
    </row>
    <row r="64">
      <c r="A64" s="68" t="str">
        <f>IFERROR(__xludf.DUMMYFUNCTION("""COMPUTED_VALUE"""),"Eventos da Área")</f>
        <v>Eventos da Área</v>
      </c>
      <c r="B64" s="213" t="str">
        <f>IFERROR(__xludf.DUMMYFUNCTION("""COMPUTED_VALUE"""),"WISE")</f>
        <v>WISE</v>
      </c>
      <c r="C64" s="213" t="str">
        <f>IFERROR(__xludf.DUMMYFUNCTION("""COMPUTED_VALUE"""),"International Conference on Web Information Systems Engineering")</f>
        <v>International Conference on Web Information Systems Engineering</v>
      </c>
      <c r="D64" s="223">
        <f>IFERROR(__xludf.DUMMYFUNCTION("""COMPUTED_VALUE"""),18.0)</f>
        <v>18</v>
      </c>
      <c r="E64" s="16" t="str">
        <f>IFERROR(__xludf.DUMMYFUNCTION("""COMPUTED_VALUE"""),"https://scholar.google.com.br/citations?hl=pt-BR&amp;view_op=list_hcore&amp;venue=K9DmX5xQU-YJ.2024")</f>
        <v>https://scholar.google.com.br/citations?hl=pt-BR&amp;view_op=list_hcore&amp;venue=K9DmX5xQU-YJ.2024</v>
      </c>
      <c r="F64" s="224"/>
      <c r="I64" s="60" t="str">
        <f>IFERROR(__xludf.DUMMYFUNCTION("""COMPUTED_VALUE"""),"https://dblp.org/db/conf/wise/index.html")</f>
        <v>https://dblp.org/db/conf/wise/index.html</v>
      </c>
    </row>
    <row r="65">
      <c r="A65" s="68" t="str">
        <f>IFERROR(__xludf.DUMMYFUNCTION("""COMPUTED_VALUE"""),"Eventos da Área")</f>
        <v>Eventos da Área</v>
      </c>
      <c r="B65" s="213" t="str">
        <f>IFERROR(__xludf.DUMMYFUNCTION("""COMPUTED_VALUE"""),"SOCC")</f>
        <v>SOCC</v>
      </c>
      <c r="C65" s="213" t="str">
        <f>IFERROR(__xludf.DUMMYFUNCTION("""COMPUTED_VALUE"""),"ACM Symposium on Cloud Computing")</f>
        <v>ACM Symposium on Cloud Computing</v>
      </c>
      <c r="D65" s="218">
        <f>IFERROR(__xludf.DUMMYFUNCTION("""COMPUTED_VALUE"""),34.0)</f>
        <v>34</v>
      </c>
      <c r="E65" s="16" t="str">
        <f>IFERROR(__xludf.DUMMYFUNCTION("""COMPUTED_VALUE"""),"https://scholar.google.com.br/citations?hl=pt-BR&amp;view_op=list_hcore&amp;venue=o1durVJyeP4J.2024")</f>
        <v>https://scholar.google.com.br/citations?hl=pt-BR&amp;view_op=list_hcore&amp;venue=o1durVJyeP4J.2024</v>
      </c>
      <c r="F65" s="217" t="str">
        <f>IFERROR(__xludf.DUMMYFUNCTION("""COMPUTED_VALUE"""),"SOCC")</f>
        <v>SOCC</v>
      </c>
      <c r="G65" t="str">
        <f>IFERROR(__xludf.DUMMYFUNCTION("""COMPUTED_VALUE"""),"ACM Symposium on Cloud Computing")</f>
        <v>ACM Symposium on Cloud Computing</v>
      </c>
      <c r="I65" s="60" t="str">
        <f>IFERROR(__xludf.DUMMYFUNCTION("""COMPUTED_VALUE"""),"https://dblp.org/db/conf/cloud/index.html")</f>
        <v>https://dblp.org/db/conf/cloud/index.html</v>
      </c>
    </row>
    <row r="66">
      <c r="A66" s="68" t="str">
        <f>IFERROR(__xludf.DUMMYFUNCTION("""COMPUTED_VALUE"""),"Eventos da Área")</f>
        <v>Eventos da Área</v>
      </c>
      <c r="B66" s="213" t="str">
        <f>IFERROR(__xludf.DUMMYFUNCTION("""COMPUTED_VALUE"""),"APWEB")</f>
        <v>APWEB</v>
      </c>
      <c r="C66" s="213" t="str">
        <f>IFERROR(__xludf.DUMMYFUNCTION("""COMPUTED_VALUE"""),"Asia-Pacific Web Conference")</f>
        <v>Asia-Pacific Web Conference</v>
      </c>
      <c r="D66" s="223">
        <f>IFERROR(__xludf.DUMMYFUNCTION("""COMPUTED_VALUE"""),11.0)</f>
        <v>11</v>
      </c>
      <c r="E66" s="16" t="str">
        <f>IFERROR(__xludf.DUMMYFUNCTION("""COMPUTED_VALUE"""),"https://scholar.google.com.br/citations?hl=pt-BR&amp;view_op=list_hcore&amp;venue=tStpiOIoPUsJ.2024")</f>
        <v>https://scholar.google.com.br/citations?hl=pt-BR&amp;view_op=list_hcore&amp;venue=tStpiOIoPUsJ.2024</v>
      </c>
      <c r="F66" s="224"/>
      <c r="I66" s="60" t="str">
        <f>IFERROR(__xludf.DUMMYFUNCTION("""COMPUTED_VALUE"""),"https://dblp.org/db/conf/apweb/index.html")</f>
        <v>https://dblp.org/db/conf/apweb/index.html</v>
      </c>
    </row>
    <row r="67">
      <c r="A67" s="68" t="str">
        <f>IFERROR(__xludf.DUMMYFUNCTION("""COMPUTED_VALUE"""),"Eventos da Área")</f>
        <v>Eventos da Área</v>
      </c>
      <c r="B67" s="213" t="str">
        <f>IFERROR(__xludf.DUMMYFUNCTION("""COMPUTED_VALUE"""),"IPAW")</f>
        <v>IPAW</v>
      </c>
      <c r="C67" s="213" t="str">
        <f>IFERROR(__xludf.DUMMYFUNCTION("""COMPUTED_VALUE"""),"International Provenance and Annotation Workshop")</f>
        <v>International Provenance and Annotation Workshop</v>
      </c>
      <c r="D67" s="218"/>
      <c r="E67" s="16"/>
      <c r="F67" s="217"/>
      <c r="I67" s="60" t="str">
        <f>IFERROR(__xludf.DUMMYFUNCTION("""COMPUTED_VALUE"""),"https://dblp.org/db/conf/ipaw/index.html")</f>
        <v>https://dblp.org/db/conf/ipaw/index.html</v>
      </c>
    </row>
    <row r="68">
      <c r="A68" s="68" t="str">
        <f>IFERROR(__xludf.DUMMYFUNCTION("""COMPUTED_VALUE"""),"Eventos da Área")</f>
        <v>Eventos da Área</v>
      </c>
      <c r="B68" s="213" t="str">
        <f>IFERROR(__xludf.DUMMYFUNCTION("""COMPUTED_VALUE"""),"GEOINFO")</f>
        <v>GEOINFO</v>
      </c>
      <c r="C68" s="213" t="str">
        <f>IFERROR(__xludf.DUMMYFUNCTION("""COMPUTED_VALUE"""),"Brazilian Symposium on Geoinformatics")</f>
        <v>Brazilian Symposium on Geoinformatics</v>
      </c>
      <c r="D68" s="223">
        <f>IFERROR(__xludf.DUMMYFUNCTION("""COMPUTED_VALUE"""),5.0)</f>
        <v>5</v>
      </c>
      <c r="E68" s="16" t="str">
        <f>IFERROR(__xludf.DUMMYFUNCTION("""COMPUTED_VALUE"""),"https://scholar.google.com.br/citations?hl=pt-BR&amp;view_op=list_hcore&amp;venue=BQO9C9sz1x8J.2024")</f>
        <v>https://scholar.google.com.br/citations?hl=pt-BR&amp;view_op=list_hcore&amp;venue=BQO9C9sz1x8J.2024</v>
      </c>
      <c r="F68" s="224"/>
      <c r="I68" s="60" t="str">
        <f>IFERROR(__xludf.DUMMYFUNCTION("""COMPUTED_VALUE"""),"https://dblp.org/db/conf/geoinfo/index.html")</f>
        <v>https://dblp.org/db/conf/geoinfo/index.html</v>
      </c>
    </row>
    <row r="69">
      <c r="A69" s="68" t="str">
        <f>IFERROR(__xludf.DUMMYFUNCTION("""COMPUTED_VALUE"""),"Eventos da Área")</f>
        <v>Eventos da Área</v>
      </c>
      <c r="B69" s="213" t="str">
        <f>IFERROR(__xludf.DUMMYFUNCTION("""COMPUTED_VALUE"""),"ITSC")</f>
        <v>ITSC</v>
      </c>
      <c r="C69" s="213" t="str">
        <f>IFERROR(__xludf.DUMMYFUNCTION("""COMPUTED_VALUE"""),"IEEE International Conference on Intelligent Transportation Systems")</f>
        <v>IEEE International Conference on Intelligent Transportation Systems</v>
      </c>
      <c r="D69" s="218"/>
      <c r="E69" s="16"/>
      <c r="F69" s="217"/>
      <c r="H69" t="str">
        <f>IFERROR(__xludf.DUMMYFUNCTION("""COMPUTED_VALUE"""),"IEEE Intelligence Transportation Systems Conference")</f>
        <v>IEEE Intelligence Transportation Systems Conference</v>
      </c>
      <c r="I69" s="60" t="str">
        <f>IFERROR(__xludf.DUMMYFUNCTION("""COMPUTED_VALUE"""),"https://dblp.org/db/conf/itsc/index.html")</f>
        <v>https://dblp.org/db/conf/itsc/index.html</v>
      </c>
    </row>
    <row r="70">
      <c r="A70" s="68" t="str">
        <f>IFERROR(__xludf.DUMMYFUNCTION("""COMPUTED_VALUE"""),"Eventos da Área")</f>
        <v>Eventos da Área</v>
      </c>
      <c r="B70" s="221" t="str">
        <f>IFERROR(__xludf.DUMMYFUNCTION("""COMPUTED_VALUE"""),"CHIIR")</f>
        <v>CHIIR</v>
      </c>
      <c r="C70" s="221" t="str">
        <f>IFERROR(__xludf.DUMMYFUNCTION("""COMPUTED_VALUE"""),"Conference on Human Information Interaction and Retrieval")</f>
        <v>Conference on Human Information Interaction and Retrieval</v>
      </c>
      <c r="D70" s="141">
        <f>IFERROR(__xludf.DUMMYFUNCTION("""COMPUTED_VALUE"""),29.0)</f>
        <v>29</v>
      </c>
      <c r="E70" s="16" t="str">
        <f>IFERROR(__xludf.DUMMYFUNCTION("""COMPUTED_VALUE"""),"https://scholar.google.com.br/citations?hl=pt-BR&amp;view_op=list_hcore&amp;venue=quvsYu1EHS0J.2024")</f>
        <v>https://scholar.google.com.br/citations?hl=pt-BR&amp;view_op=list_hcore&amp;venue=quvsYu1EHS0J.2024</v>
      </c>
      <c r="F70" s="224"/>
      <c r="I70" s="60" t="str">
        <f>IFERROR(__xludf.DUMMYFUNCTION("""COMPUTED_VALUE"""),"https://dblp.org/db/conf/chiir/index.html")</f>
        <v>https://dblp.org/db/conf/chiir/index.html</v>
      </c>
    </row>
    <row r="71">
      <c r="A71" s="68" t="str">
        <f>IFERROR(__xludf.DUMMYFUNCTION("""COMPUTED_VALUE"""),"Eventos da Área")</f>
        <v>Eventos da Área</v>
      </c>
      <c r="B71" s="221" t="str">
        <f>IFERROR(__xludf.DUMMYFUNCTION("""COMPUTED_VALUE"""),"KDIR")</f>
        <v>KDIR</v>
      </c>
      <c r="C71" s="221" t="str">
        <f>IFERROR(__xludf.DUMMYFUNCTION("""COMPUTED_VALUE"""),"International Conference on Knowledge Discovery and Information Retrieval")</f>
        <v>International Conference on Knowledge Discovery and Information Retrieval</v>
      </c>
      <c r="D71" s="222">
        <f>IFERROR(__xludf.DUMMYFUNCTION("""COMPUTED_VALUE"""),12.0)</f>
        <v>12</v>
      </c>
      <c r="E71" s="16" t="str">
        <f>IFERROR(__xludf.DUMMYFUNCTION("""COMPUTED_VALUE"""),"https://scholar.google.com.br/citations?hl=pt-BR&amp;view_op=list_hcore&amp;venue=UDGD1AtMr3UJ.2024")</f>
        <v>https://scholar.google.com.br/citations?hl=pt-BR&amp;view_op=list_hcore&amp;venue=UDGD1AtMr3UJ.2024</v>
      </c>
      <c r="F71" s="217"/>
    </row>
    <row r="72">
      <c r="A72" s="68" t="str">
        <f>IFERROR(__xludf.DUMMYFUNCTION("""COMPUTED_VALUE"""),"Eventos da Área")</f>
        <v>Eventos da Área</v>
      </c>
      <c r="B72" s="221" t="str">
        <f>IFERROR(__xludf.DUMMYFUNCTION("""COMPUTED_VALUE"""),"ICTIR")</f>
        <v>ICTIR</v>
      </c>
      <c r="C72" s="221" t="str">
        <f>IFERROR(__xludf.DUMMYFUNCTION("""COMPUTED_VALUE"""),"Conference on the Theory of Information Retrieval")</f>
        <v>Conference on the Theory of Information Retrieval</v>
      </c>
      <c r="D72" s="222">
        <f>IFERROR(__xludf.DUMMYFUNCTION("""COMPUTED_VALUE"""),24.0)</f>
        <v>24</v>
      </c>
      <c r="E72" s="16" t="str">
        <f>IFERROR(__xludf.DUMMYFUNCTION("""COMPUTED_VALUE"""),"https://scholar.google.com.br/citations?hl=pt-BR&amp;view_op=list_hcore&amp;venue=5XVjTHqnK0AJ.2024")</f>
        <v>https://scholar.google.com.br/citations?hl=pt-BR&amp;view_op=list_hcore&amp;venue=5XVjTHqnK0AJ.2024</v>
      </c>
      <c r="F72" s="217"/>
      <c r="H72" t="str">
        <f>IFERROR(__xludf.DUMMYFUNCTION("""COMPUTED_VALUE"""),"International Conference on the Theory of Information Retrieval")</f>
        <v>International Conference on the Theory of Information Retrieval</v>
      </c>
      <c r="I72" s="60" t="str">
        <f>IFERROR(__xludf.DUMMYFUNCTION("""COMPUTED_VALUE"""),"https://dblp.org/db/conf/ictir/index.html")</f>
        <v>https://dblp.org/db/conf/ictir/index.html</v>
      </c>
    </row>
    <row r="73">
      <c r="A73" s="68" t="str">
        <f>IFERROR(__xludf.DUMMYFUNCTION("""COMPUTED_VALUE"""),"Eventos da Área")</f>
        <v>Eventos da Área</v>
      </c>
      <c r="B73" s="221" t="str">
        <f>IFERROR(__xludf.DUMMYFUNCTION("""COMPUTED_VALUE"""),"DGO")</f>
        <v>DGO</v>
      </c>
      <c r="C73" s="228" t="str">
        <f>IFERROR(__xludf.DUMMYFUNCTION("""COMPUTED_VALUE"""),"Annual International Conference on Digital Government Research")</f>
        <v>Annual International Conference on Digital Government Research</v>
      </c>
      <c r="D73" s="222">
        <f>IFERROR(__xludf.DUMMYFUNCTION("""COMPUTED_VALUE"""),25.0)</f>
        <v>25</v>
      </c>
      <c r="E73" s="16" t="str">
        <f>IFERROR(__xludf.DUMMYFUNCTION("""COMPUTED_VALUE"""),"https://scholar.google.com.br/citations?hl=pt-BR&amp;view_op=list_hcore&amp;venue=109OuuD55eYJ.2024")</f>
        <v>https://scholar.google.com.br/citations?hl=pt-BR&amp;view_op=list_hcore&amp;venue=109OuuD55eYJ.2024</v>
      </c>
      <c r="F73" s="217"/>
      <c r="I73" s="60" t="str">
        <f>IFERROR(__xludf.DUMMYFUNCTION("""COMPUTED_VALUE"""),"https://dblp.org/db/conf/dgo/index.html")</f>
        <v>https://dblp.org/db/conf/dgo/index.html</v>
      </c>
    </row>
    <row r="74">
      <c r="A74" s="68" t="str">
        <f>IFERROR(__xludf.DUMMYFUNCTION("""COMPUTED_VALUE"""),"Eventos da Área")</f>
        <v>Eventos da Área</v>
      </c>
      <c r="B74" s="221" t="str">
        <f>IFERROR(__xludf.DUMMYFUNCTION("""COMPUTED_VALUE"""),"IRI")</f>
        <v>IRI</v>
      </c>
      <c r="C74" s="228" t="str">
        <f>IFERROR(__xludf.DUMMYFUNCTION("""COMPUTED_VALUE"""),"IEEE International Conference on Information Reuse and Integration")</f>
        <v>IEEE International Conference on Information Reuse and Integration</v>
      </c>
      <c r="D74" s="222">
        <f>IFERROR(__xludf.DUMMYFUNCTION("""COMPUTED_VALUE"""),21.0)</f>
        <v>21</v>
      </c>
      <c r="E74" s="16" t="str">
        <f>IFERROR(__xludf.DUMMYFUNCTION("""COMPUTED_VALUE"""),"https://scholar.google.com.br/citations?hl=pt-BR&amp;view_op=list_hcore&amp;venue=Llhi-G0S554J.2024")</f>
        <v>https://scholar.google.com.br/citations?hl=pt-BR&amp;view_op=list_hcore&amp;venue=Llhi-G0S554J.2024</v>
      </c>
      <c r="F74" s="217"/>
      <c r="I74" s="60" t="str">
        <f>IFERROR(__xludf.DUMMYFUNCTION("""COMPUTED_VALUE"""),"https://dblp.org/db/conf/iri/index.html")</f>
        <v>https://dblp.org/db/conf/iri/index.html</v>
      </c>
    </row>
    <row r="75">
      <c r="A75" s="68" t="str">
        <f>IFERROR(__xludf.DUMMYFUNCTION("""COMPUTED_VALUE"""),"Eventos da Área")</f>
        <v>Eventos da Área</v>
      </c>
      <c r="B75" s="221" t="str">
        <f>IFERROR(__xludf.DUMMYFUNCTION("""COMPUTED_VALUE"""),"ASONAM")</f>
        <v>ASONAM</v>
      </c>
      <c r="C75" s="228" t="str">
        <f>IFERROR(__xludf.DUMMYFUNCTION("""COMPUTED_VALUE"""),"IEEE/ACM International Conference on Advances in Social Networks Analysis and Mining")</f>
        <v>IEEE/ACM International Conference on Advances in Social Networks Analysis and Mining</v>
      </c>
      <c r="D75" s="222">
        <f>IFERROR(__xludf.DUMMYFUNCTION("""COMPUTED_VALUE"""),28.0)</f>
        <v>28</v>
      </c>
      <c r="E75" s="16" t="str">
        <f>IFERROR(__xludf.DUMMYFUNCTION("""COMPUTED_VALUE"""),"https://scholar.google.com.br/citations?hl=pt-BR&amp;view_op=list_hcore&amp;venue=71Q5CJZj-VYJ.2024")</f>
        <v>https://scholar.google.com.br/citations?hl=pt-BR&amp;view_op=list_hcore&amp;venue=71Q5CJZj-VYJ.2024</v>
      </c>
      <c r="F75" s="217"/>
      <c r="H75" t="str">
        <f>IFERROR(__xludf.DUMMYFUNCTION("""COMPUTED_VALUE"""),"International Conference on Advances in Social Networks Analysis and Mining,")</f>
        <v>International Conference on Advances in Social Networks Analysis and Mining,</v>
      </c>
      <c r="I75" s="60" t="str">
        <f>IFERROR(__xludf.DUMMYFUNCTION("""COMPUTED_VALUE"""),"https://dblp.org/db/conf/asunam/index.html")</f>
        <v>https://dblp.org/db/conf/asunam/index.html</v>
      </c>
    </row>
    <row r="76">
      <c r="A76" s="68" t="str">
        <f>IFERROR(__xludf.DUMMYFUNCTION("""COMPUTED_VALUE"""),"Eventos da Área")</f>
        <v>Eventos da Área</v>
      </c>
      <c r="B76" s="213" t="str">
        <f>IFERROR(__xludf.DUMMYFUNCTION("""COMPUTED_VALUE"""),"ACL")</f>
        <v>ACL</v>
      </c>
      <c r="C76" s="213" t="str">
        <f>IFERROR(__xludf.DUMMYFUNCTION("""COMPUTED_VALUE"""),"Annual Meeting of the Association for Computational Linguistics")</f>
        <v>Annual Meeting of the Association for Computational Linguistics</v>
      </c>
      <c r="D76" s="223">
        <f>IFERROR(__xludf.DUMMYFUNCTION("""COMPUTED_VALUE"""),215.0)</f>
        <v>215</v>
      </c>
      <c r="E76" s="16" t="str">
        <f>IFERROR(__xludf.DUMMYFUNCTION("""COMPUTED_VALUE"""),"https://scholar.google.com.br/citations?hl=pt-BR&amp;view_op=list_hcore&amp;venue=Y3UjV9bSCxMJ.2024")</f>
        <v>https://scholar.google.com.br/citations?hl=pt-BR&amp;view_op=list_hcore&amp;venue=Y3UjV9bSCxMJ.2024</v>
      </c>
      <c r="F76" s="217"/>
      <c r="I76" s="60" t="str">
        <f>IFERROR(__xludf.DUMMYFUNCTION("""COMPUTED_VALUE"""),"https://dblp.org/db/conf/acl/index.html")</f>
        <v>https://dblp.org/db/conf/acl/index.html</v>
      </c>
    </row>
    <row r="77">
      <c r="A77" s="68" t="str">
        <f>IFERROR(__xludf.DUMMYFUNCTION("""COMPUTED_VALUE"""),"Eventos da Área")</f>
        <v>Eventos da Área</v>
      </c>
      <c r="B77" s="221" t="str">
        <f>IFERROR(__xludf.DUMMYFUNCTION("""COMPUTED_VALUE"""),"STIL")</f>
        <v>STIL</v>
      </c>
      <c r="C77" s="228" t="str">
        <f>IFERROR(__xludf.DUMMYFUNCTION("""COMPUTED_VALUE"""),"Brazilian Symposium in Information and Human Language Technology")</f>
        <v>Brazilian Symposium in Information and Human Language Technology</v>
      </c>
      <c r="D77" s="222"/>
      <c r="E77" s="16"/>
      <c r="F77" s="217"/>
      <c r="I77" s="60" t="str">
        <f>IFERROR(__xludf.DUMMYFUNCTION("""COMPUTED_VALUE"""),"https://dblp.org/db/conf/stil/index.html")</f>
        <v>https://dblp.org/db/conf/stil/index.html</v>
      </c>
      <c r="J77" s="60" t="str">
        <f>IFERROR(__xludf.DUMMYFUNCTION("""COMPUTED_VALUE"""),"https://sol.sbc.org.br/index.php/stil/issue/archive")</f>
        <v>https://sol.sbc.org.br/index.php/stil/issue/archive</v>
      </c>
    </row>
    <row r="78">
      <c r="A78" s="68" t="str">
        <f>IFERROR(__xludf.DUMMYFUNCTION("""COMPUTED_VALUE"""),"Eventos da Área")</f>
        <v>Eventos da Área</v>
      </c>
      <c r="B78" t="str">
        <f>IFERROR(__xludf.DUMMYFUNCTION("""COMPUTED_VALUE"""),"EMNLP")</f>
        <v>EMNLP</v>
      </c>
      <c r="C78" t="str">
        <f>IFERROR(__xludf.DUMMYFUNCTION("""COMPUTED_VALUE"""),"Conference on Empirical Methods in Natural Language Processing")</f>
        <v>Conference on Empirical Methods in Natural Language Processing</v>
      </c>
      <c r="D78" s="222">
        <f>IFERROR(__xludf.DUMMYFUNCTION("""COMPUTED_VALUE"""),193.0)</f>
        <v>193</v>
      </c>
      <c r="E78" s="16" t="str">
        <f>IFERROR(__xludf.DUMMYFUNCTION("""COMPUTED_VALUE"""),"https://scholar.google.com.br/citations?hl=pt-BR&amp;view_op=list_hcore&amp;venue=LqrQjvOguiMJ.2024")</f>
        <v>https://scholar.google.com.br/citations?hl=pt-BR&amp;view_op=list_hcore&amp;venue=LqrQjvOguiMJ.2024</v>
      </c>
      <c r="F78" s="217"/>
      <c r="I78" s="60" t="str">
        <f>IFERROR(__xludf.DUMMYFUNCTION("""COMPUTED_VALUE"""),"https://dblp.org/db/conf/emnlp/index.html")</f>
        <v>https://dblp.org/db/conf/emnlp/index.html</v>
      </c>
    </row>
    <row r="79">
      <c r="A79" s="68" t="str">
        <f>IFERROR(__xludf.DUMMYFUNCTION("""COMPUTED_VALUE"""),"Eventos da Área")</f>
        <v>Eventos da Área</v>
      </c>
      <c r="B79" t="str">
        <f>IFERROR(__xludf.DUMMYFUNCTION("""COMPUTED_VALUE"""),"BRASNAM")</f>
        <v>BRASNAM</v>
      </c>
      <c r="C79" t="str">
        <f>IFERROR(__xludf.DUMMYFUNCTION("""COMPUTED_VALUE"""),"Brazilian Workshop on Social Network Analysis and Mining")</f>
        <v>Brazilian Workshop on Social Network Analysis and Mining</v>
      </c>
      <c r="D79" s="222">
        <f>IFERROR(__xludf.DUMMYFUNCTION("""COMPUTED_VALUE"""),8.0)</f>
        <v>8</v>
      </c>
      <c r="E79" s="16" t="str">
        <f>IFERROR(__xludf.DUMMYFUNCTION("""COMPUTED_VALUE"""),"https://scholar.google.com.br/citations?hl=pt-BR&amp;view_op=list_hcore&amp;venue=uCHdYLLURp0J.2024")</f>
        <v>https://scholar.google.com.br/citations?hl=pt-BR&amp;view_op=list_hcore&amp;venue=uCHdYLLURp0J.2024</v>
      </c>
      <c r="F79" s="217"/>
      <c r="H79" t="str">
        <f>IFERROR(__xludf.DUMMYFUNCTION("""COMPUTED_VALUE"""),"Workshop Brasileiro de Análise de Redes Sociais e Mineração")</f>
        <v>Workshop Brasileiro de Análise de Redes Sociais e Mineração</v>
      </c>
      <c r="J79" s="60" t="str">
        <f>IFERROR(__xludf.DUMMYFUNCTION("""COMPUTED_VALUE"""),"https://sol.sbc.org.br/index.php/brasnam")</f>
        <v>https://sol.sbc.org.br/index.php/brasnam</v>
      </c>
    </row>
    <row r="80">
      <c r="A80" t="str">
        <f>IFERROR(__xludf.DUMMYFUNCTION("""COMPUTED_VALUE"""),"Eventos da Área")</f>
        <v>Eventos da Área</v>
      </c>
      <c r="B80" t="str">
        <f>IFERROR(__xludf.DUMMYFUNCTION("""COMPUTED_VALUE"""),"SEKE")</f>
        <v>SEKE</v>
      </c>
      <c r="C80" t="str">
        <f>IFERROR(__xludf.DUMMYFUNCTION("""COMPUTED_VALUE"""),"International Conference on Software Engineering and Knowledge Engineering")</f>
        <v>International Conference on Software Engineering and Knowledge Engineering</v>
      </c>
      <c r="D80" s="141">
        <f>IFERROR(__xludf.DUMMYFUNCTION("""COMPUTED_VALUE"""),14.0)</f>
        <v>14</v>
      </c>
      <c r="E80" s="16" t="str">
        <f>IFERROR(__xludf.DUMMYFUNCTION("""COMPUTED_VALUE"""),"https://scholar.google.com.br/citations?hl=pt-BR&amp;view_op=list_hcore&amp;venue=JQUkUFehKJAJ.2024")</f>
        <v>https://scholar.google.com.br/citations?hl=pt-BR&amp;view_op=list_hcore&amp;venue=JQUkUFehKJAJ.2024</v>
      </c>
      <c r="F80" s="217"/>
      <c r="I80" s="60" t="str">
        <f>IFERROR(__xludf.DUMMYFUNCTION("""COMPUTED_VALUE"""),"https://dblp.org/db/conf/seke/index.html")</f>
        <v>https://dblp.org/db/conf/seke/index.html</v>
      </c>
    </row>
    <row r="81">
      <c r="A81" t="str">
        <f>IFERROR(__xludf.DUMMYFUNCTION("""COMPUTED_VALUE"""),"Eventos da Área")</f>
        <v>Eventos da Área</v>
      </c>
      <c r="B81" t="str">
        <f>IFERROR(__xludf.DUMMYFUNCTION("""COMPUTED_VALUE"""),"DSW")</f>
        <v>DSW</v>
      </c>
      <c r="C81" t="str">
        <f>IFERROR(__xludf.DUMMYFUNCTION("""COMPUTED_VALUE"""),"Dataset Showcase Workshop")</f>
        <v>Dataset Showcase Workshop</v>
      </c>
      <c r="D81" s="141"/>
      <c r="E81" s="16"/>
      <c r="F81" s="217" t="str">
        <f>IFERROR(__xludf.DUMMYFUNCTION("""COMPUTED_VALUE"""),"DSW")</f>
        <v>DSW</v>
      </c>
      <c r="G81" t="str">
        <f>IFERROR(__xludf.DUMMYFUNCTION("""COMPUTED_VALUE"""),"Dataset Showcase Workshop")</f>
        <v>Dataset Showcase Workshop</v>
      </c>
      <c r="J81" s="60" t="str">
        <f>IFERROR(__xludf.DUMMYFUNCTION("""COMPUTED_VALUE"""),"https://sol.sbc.org.br/index.php/dsw/issue/archive")</f>
        <v>https://sol.sbc.org.br/index.php/dsw/issue/archive</v>
      </c>
    </row>
    <row r="82">
      <c r="A82" t="str">
        <f>IFERROR(__xludf.DUMMYFUNCTION("""COMPUTED_VALUE"""),"Eventos da Área")</f>
        <v>Eventos da Área</v>
      </c>
      <c r="B82" t="str">
        <f>IFERROR(__xludf.DUMMYFUNCTION("""COMPUTED_VALUE"""),"BreSci")</f>
        <v>BreSci</v>
      </c>
      <c r="C82" t="str">
        <f>IFERROR(__xludf.DUMMYFUNCTION("""COMPUTED_VALUE"""),"Brazilian e-Science Workshop")</f>
        <v>Brazilian e-Science Workshop</v>
      </c>
      <c r="D82" s="141"/>
      <c r="E82" s="16"/>
      <c r="F82" s="217"/>
      <c r="J82" s="60" t="str">
        <f>IFERROR(__xludf.DUMMYFUNCTION("""COMPUTED_VALUE"""),"https://sol.sbc.org.br/index.php/bresci")</f>
        <v>https://sol.sbc.org.br/index.php/bresci</v>
      </c>
    </row>
    <row r="83">
      <c r="A83" t="str">
        <f>IFERROR(__xludf.DUMMYFUNCTION("""COMPUTED_VALUE"""),"Eventos da Área")</f>
        <v>Eventos da Área</v>
      </c>
      <c r="B83" t="str">
        <f>IFERROR(__xludf.DUMMYFUNCTION("""COMPUTED_VALUE"""),"DOING")</f>
        <v>DOING</v>
      </c>
      <c r="C83" t="str">
        <f>IFERROR(__xludf.DUMMYFUNCTION("""COMPUTED_VALUE"""),"Intelligent Data - From Data to Knowledge Workshop")</f>
        <v>Intelligent Data - From Data to Knowledge Workshop</v>
      </c>
      <c r="D83" s="141"/>
      <c r="E83" s="16"/>
      <c r="F83" s="217" t="str">
        <f>IFERROR(__xludf.DUMMYFUNCTION("""COMPUTED_VALUE"""),"DOING")</f>
        <v>DOING</v>
      </c>
      <c r="G83" t="str">
        <f>IFERROR(__xludf.DUMMYFUNCTION("""COMPUTED_VALUE"""),"Intelligent Data - From Data to Knowledge Workshop")</f>
        <v>Intelligent Data - From Data to Knowledge Workshop</v>
      </c>
      <c r="I83" s="60" t="str">
        <f>IFERROR(__xludf.DUMMYFUNCTION("""COMPUTED_VALUE"""),"https://dblp.org/db/conf/adbis/adbis2023short.html#PrzybylekKHDHKZ23")</f>
        <v>https://dblp.org/db/conf/adbis/adbis2023short.html#PrzybylekKHDHKZ23</v>
      </c>
    </row>
    <row r="84">
      <c r="A84" t="str">
        <f>IFERROR(__xludf.DUMMYFUNCTION("""COMPUTED_VALUE"""),"Eventos da Área")</f>
        <v>Eventos da Área</v>
      </c>
      <c r="B84" t="str">
        <f>IFERROR(__xludf.DUMMYFUNCTION("""COMPUTED_VALUE"""),"SOFSEM")</f>
        <v>SOFSEM</v>
      </c>
      <c r="C84" t="str">
        <f>IFERROR(__xludf.DUMMYFUNCTION("""COMPUTED_VALUE"""),"International Conference on Current Trends in Theory and Practice of Computer Science")</f>
        <v>International Conference on Current Trends in Theory and Practice of Computer Science</v>
      </c>
      <c r="D84" s="141"/>
      <c r="E84" s="16"/>
      <c r="F84" s="217"/>
      <c r="I84" s="60" t="str">
        <f>IFERROR(__xludf.DUMMYFUNCTION("""COMPUTED_VALUE"""),"https://dblp.org/db/conf/sofsem/index.html")</f>
        <v>https://dblp.org/db/conf/sofsem/index.html</v>
      </c>
    </row>
    <row r="85">
      <c r="A85" t="str">
        <f>IFERROR(__xludf.DUMMYFUNCTION("""COMPUTED_VALUE"""),"Eventos da Área")</f>
        <v>Eventos da Área</v>
      </c>
      <c r="B85" t="str">
        <f>IFERROR(__xludf.DUMMYFUNCTION("""COMPUTED_VALUE"""),"BDCLOUD")</f>
        <v>BDCLOUD</v>
      </c>
      <c r="C85" t="str">
        <f>IFERROR(__xludf.DUMMYFUNCTION("""COMPUTED_VALUE"""),"International Conference on Big Data and Cloud Computing")</f>
        <v>International Conference on Big Data and Cloud Computing</v>
      </c>
      <c r="D85" s="141">
        <f>IFERROR(__xludf.DUMMYFUNCTION("""COMPUTED_VALUE"""),4.0)</f>
        <v>4</v>
      </c>
      <c r="E85" s="16" t="str">
        <f>IFERROR(__xludf.DUMMYFUNCTION("""COMPUTED_VALUE"""),"https://scholar.google.com.br/citations?hl=pt-BR&amp;view_op=list_hcore&amp;venue=VsEvOEfP6b8J.2024")</f>
        <v>https://scholar.google.com.br/citations?hl=pt-BR&amp;view_op=list_hcore&amp;venue=VsEvOEfP6b8J.2024</v>
      </c>
      <c r="F85" s="217"/>
      <c r="I85" s="60" t="str">
        <f>IFERROR(__xludf.DUMMYFUNCTION("""COMPUTED_VALUE"""),"https://dblp.org/db/conf/bdcloud/index.html")</f>
        <v>https://dblp.org/db/conf/bdcloud/index.html</v>
      </c>
    </row>
    <row r="86">
      <c r="A86" t="str">
        <f>IFERROR(__xludf.DUMMYFUNCTION("""COMPUTED_VALUE"""),"Eventos da Área")</f>
        <v>Eventos da Área</v>
      </c>
      <c r="B86" t="str">
        <f>IFERROR(__xludf.DUMMYFUNCTION("""COMPUTED_VALUE"""),"BigDataSE")</f>
        <v>BigDataSE</v>
      </c>
      <c r="C86" t="str">
        <f>IFERROR(__xludf.DUMMYFUNCTION("""COMPUTED_VALUE"""),"IEEE International Conference On Big Data Science And Engineering")</f>
        <v>IEEE International Conference On Big Data Science And Engineering</v>
      </c>
      <c r="D86" s="141"/>
      <c r="E86" s="16"/>
      <c r="F86" s="217"/>
      <c r="I86" s="60" t="str">
        <f>IFERROR(__xludf.DUMMYFUNCTION("""COMPUTED_VALUE"""),"https://dblp.org/db/conf/bigdatase/index.html")</f>
        <v>https://dblp.org/db/conf/bigdatase/index.html</v>
      </c>
    </row>
    <row r="87">
      <c r="A87" t="str">
        <f>IFERROR(__xludf.DUMMYFUNCTION("""COMPUTED_VALUE"""),"Eventos da Área")</f>
        <v>Eventos da Área</v>
      </c>
      <c r="B87" t="str">
        <f>IFERROR(__xludf.DUMMYFUNCTION("""COMPUTED_VALUE"""),"BIGDATASERVICE")</f>
        <v>BIGDATASERVICE</v>
      </c>
      <c r="C87" t="str">
        <f>IFERROR(__xludf.DUMMYFUNCTION("""COMPUTED_VALUE"""),"IEEE International Conference on Big Data Computing Service and Applications")</f>
        <v>IEEE International Conference on Big Data Computing Service and Applications</v>
      </c>
      <c r="D87" s="141">
        <f>IFERROR(__xludf.DUMMYFUNCTION("""COMPUTED_VALUE"""),18.0)</f>
        <v>18</v>
      </c>
      <c r="E87" s="16" t="str">
        <f>IFERROR(__xludf.DUMMYFUNCTION("""COMPUTED_VALUE"""),"https://scholar.google.com.br/citations?hl=pt-BR&amp;view_op=list_hcore&amp;venue=QNSmFsPl6awJ.2024")</f>
        <v>https://scholar.google.com.br/citations?hl=pt-BR&amp;view_op=list_hcore&amp;venue=QNSmFsPl6awJ.2024</v>
      </c>
      <c r="F87" s="217"/>
      <c r="I87" s="60" t="str">
        <f>IFERROR(__xludf.DUMMYFUNCTION("""COMPUTED_VALUE"""),"https://dblp.org/db/conf/bigdataservice/index.html")</f>
        <v>https://dblp.org/db/conf/bigdataservice/index.html</v>
      </c>
    </row>
    <row r="88">
      <c r="A88" t="str">
        <f>IFERROR(__xludf.DUMMYFUNCTION("""COMPUTED_VALUE"""),"Eventos da Área")</f>
        <v>Eventos da Área</v>
      </c>
      <c r="B88" t="str">
        <f>IFERROR(__xludf.DUMMYFUNCTION("""COMPUTED_VALUE"""),"CLEI")</f>
        <v>CLEI</v>
      </c>
      <c r="C88" t="str">
        <f>IFERROR(__xludf.DUMMYFUNCTION("""COMPUTED_VALUE"""),"Conferencia Latinoamericana de Informática")</f>
        <v>Conferencia Latinoamericana de Informática</v>
      </c>
      <c r="D88" s="141">
        <f>IFERROR(__xludf.DUMMYFUNCTION("""COMPUTED_VALUE"""),11.0)</f>
        <v>11</v>
      </c>
      <c r="E88" s="16" t="str">
        <f>IFERROR(__xludf.DUMMYFUNCTION("""COMPUTED_VALUE"""),"https://scholar.google.com.br/citations?hl=pt-BR&amp;view_op=list_hcore&amp;venue=ThEGj_a76ZUJ.2024")</f>
        <v>https://scholar.google.com.br/citations?hl=pt-BR&amp;view_op=list_hcore&amp;venue=ThEGj_a76ZUJ.2024</v>
      </c>
      <c r="F88" s="217"/>
      <c r="I88" s="60" t="str">
        <f>IFERROR(__xludf.DUMMYFUNCTION("""COMPUTED_VALUE"""),"https://dblp.org/db/conf/clei/index.html")</f>
        <v>https://dblp.org/db/conf/clei/index.html</v>
      </c>
    </row>
    <row r="89">
      <c r="A89" t="str">
        <f>IFERROR(__xludf.DUMMYFUNCTION("""COMPUTED_VALUE"""),"Eventos da Área")</f>
        <v>Eventos da Área</v>
      </c>
      <c r="B89" t="str">
        <f>IFERROR(__xludf.DUMMYFUNCTION("""COMPUTED_VALUE"""),"CSBC")</f>
        <v>CSBC</v>
      </c>
      <c r="C89" t="str">
        <f>IFERROR(__xludf.DUMMYFUNCTION("""COMPUTED_VALUE"""),"Congresso da Sociedade Brasileira de Computação")</f>
        <v>Congresso da Sociedade Brasileira de Computação</v>
      </c>
      <c r="D89" s="141"/>
      <c r="E89" s="16"/>
      <c r="F89" s="217"/>
      <c r="J89" s="60" t="str">
        <f>IFERROR(__xludf.DUMMYFUNCTION("""COMPUTED_VALUE"""),"https://sol.sbc.org.br/index.php/csbc/issue/archive")</f>
        <v>https://sol.sbc.org.br/index.php/csbc/issue/archive</v>
      </c>
    </row>
    <row r="90">
      <c r="A90" t="str">
        <f>IFERROR(__xludf.DUMMYFUNCTION("""COMPUTED_VALUE"""),"Eventos da Área")</f>
        <v>Eventos da Área</v>
      </c>
      <c r="B90" t="str">
        <f>IFERROR(__xludf.DUMMYFUNCTION("""COMPUTED_VALUE"""),"DAMON")</f>
        <v>DAMON</v>
      </c>
      <c r="C90" t="str">
        <f>IFERROR(__xludf.DUMMYFUNCTION("""COMPUTED_VALUE"""),"International Workshop on Data Management on New Hardware")</f>
        <v>International Workshop on Data Management on New Hardware</v>
      </c>
      <c r="D90" s="141"/>
      <c r="E90" s="16"/>
      <c r="F90" s="217"/>
      <c r="I90" s="60" t="str">
        <f>IFERROR(__xludf.DUMMYFUNCTION("""COMPUTED_VALUE"""),"https://dblp.org/db/conf/damon/index.html")</f>
        <v>https://dblp.org/db/conf/damon/index.html</v>
      </c>
    </row>
    <row r="91">
      <c r="A91" t="str">
        <f>IFERROR(__xludf.DUMMYFUNCTION("""COMPUTED_VALUE"""),"Eventos da Área")</f>
        <v>Eventos da Área</v>
      </c>
      <c r="B91" t="str">
        <f>IFERROR(__xludf.DUMMYFUNCTION("""COMPUTED_VALUE"""),"DPM")</f>
        <v>DPM</v>
      </c>
      <c r="C91" t="str">
        <f>IFERROR(__xludf.DUMMYFUNCTION("""COMPUTED_VALUE"""),"International Workshop on Data Privacy Management")</f>
        <v>International Workshop on Data Privacy Management</v>
      </c>
      <c r="D91" s="141"/>
      <c r="E91" s="16"/>
      <c r="F91" s="217"/>
    </row>
    <row r="92">
      <c r="A92" t="str">
        <f>IFERROR(__xludf.DUMMYFUNCTION("""COMPUTED_VALUE"""),"Eventos da Área")</f>
        <v>Eventos da Área</v>
      </c>
      <c r="B92" t="str">
        <f>IFERROR(__xludf.DUMMYFUNCTION("""COMPUTED_VALUE"""),"DSAA")</f>
        <v>DSAA</v>
      </c>
      <c r="C92" t="str">
        <f>IFERROR(__xludf.DUMMYFUNCTION("""COMPUTED_VALUE"""),"IEEE International Conference on Data Science and Advanced Analytics")</f>
        <v>IEEE International Conference on Data Science and Advanced Analytics</v>
      </c>
      <c r="D92" s="141">
        <f>IFERROR(__xludf.DUMMYFUNCTION("""COMPUTED_VALUE"""),26.0)</f>
        <v>26</v>
      </c>
      <c r="E92" s="16" t="str">
        <f>IFERROR(__xludf.DUMMYFUNCTION("""COMPUTED_VALUE"""),"https://scholar.google.com.br/citations?hl=pt-BR&amp;view_op=list_hcore&amp;venue=ZHdJbJwh40EJ.2024")</f>
        <v>https://scholar.google.com.br/citations?hl=pt-BR&amp;view_op=list_hcore&amp;venue=ZHdJbJwh40EJ.2024</v>
      </c>
      <c r="F92" s="217"/>
      <c r="I92" s="60" t="str">
        <f>IFERROR(__xludf.DUMMYFUNCTION("""COMPUTED_VALUE"""),"https://dblp.org/db/conf/dsaa/index.html")</f>
        <v>https://dblp.org/db/conf/dsaa/index.html</v>
      </c>
    </row>
    <row r="93">
      <c r="A93" t="str">
        <f>IFERROR(__xludf.DUMMYFUNCTION("""COMPUTED_VALUE"""),"Eventos da Área")</f>
        <v>Eventos da Área</v>
      </c>
      <c r="B93" t="str">
        <f>IFERROR(__xludf.DUMMYFUNCTION("""COMPUTED_VALUE"""),"EJC")</f>
        <v>EJC</v>
      </c>
      <c r="C93" t="str">
        <f>IFERROR(__xludf.DUMMYFUNCTION("""COMPUTED_VALUE"""),"International Conference on Information Modeling and Knowledge")</f>
        <v>International Conference on Information Modeling and Knowledge</v>
      </c>
      <c r="D93" s="141">
        <f>IFERROR(__xludf.DUMMYFUNCTION("""COMPUTED_VALUE"""),7.0)</f>
        <v>7</v>
      </c>
      <c r="E93" s="16" t="str">
        <f>IFERROR(__xludf.DUMMYFUNCTION("""COMPUTED_VALUE"""),"https://scholar.google.com.br/citations?hl=pt-BR&amp;view_op=list_hcore&amp;venue=pgJ4wuBAmi8J.2024")</f>
        <v>https://scholar.google.com.br/citations?hl=pt-BR&amp;view_op=list_hcore&amp;venue=pgJ4wuBAmi8J.2024</v>
      </c>
      <c r="F93" s="217"/>
      <c r="I93" s="60" t="str">
        <f>IFERROR(__xludf.DUMMYFUNCTION("""COMPUTED_VALUE"""),"https://dblp.org/db/conf/ejc/index.html")</f>
        <v>https://dblp.org/db/conf/ejc/index.html</v>
      </c>
    </row>
    <row r="94">
      <c r="A94" t="str">
        <f>IFERROR(__xludf.DUMMYFUNCTION("""COMPUTED_VALUE"""),"Eventos da Área")</f>
        <v>Eventos da Área</v>
      </c>
      <c r="B94" t="str">
        <f>IFERROR(__xludf.DUMMYFUNCTION("""COMPUTED_VALUE"""),"FAST")</f>
        <v>FAST</v>
      </c>
      <c r="C94" t="str">
        <f>IFERROR(__xludf.DUMMYFUNCTION("""COMPUTED_VALUE"""),"USENIX Conference on File and Storage Technologies")</f>
        <v>USENIX Conference on File and Storage Technologies</v>
      </c>
      <c r="D94" s="141">
        <f>IFERROR(__xludf.DUMMYFUNCTION("""COMPUTED_VALUE"""),39.0)</f>
        <v>39</v>
      </c>
      <c r="E94" s="16" t="str">
        <f>IFERROR(__xludf.DUMMYFUNCTION("""COMPUTED_VALUE"""),"https://scholar.google.com.br/citations?hl=pt-BR&amp;view_op=list_hcore&amp;venue=9iQfffNlIeAJ.2024")</f>
        <v>https://scholar.google.com.br/citations?hl=pt-BR&amp;view_op=list_hcore&amp;venue=9iQfffNlIeAJ.2024</v>
      </c>
      <c r="F94" s="217"/>
      <c r="H94" t="str">
        <f>IFERROR(__xludf.DUMMYFUNCTION("""COMPUTED_VALUE"""),"Conference on File and Storage Technologies (FAST)")</f>
        <v>Conference on File and Storage Technologies (FAST)</v>
      </c>
      <c r="I94" s="60" t="str">
        <f>IFERROR(__xludf.DUMMYFUNCTION("""COMPUTED_VALUE"""),"https://dblp.org/db/conf/fast/index.html")</f>
        <v>https://dblp.org/db/conf/fast/index.html</v>
      </c>
    </row>
    <row r="95">
      <c r="A95" t="str">
        <f>IFERROR(__xludf.DUMMYFUNCTION("""COMPUTED_VALUE"""),"Eventos da Área")</f>
        <v>Eventos da Área</v>
      </c>
      <c r="B95" t="str">
        <f>IFERROR(__xludf.DUMMYFUNCTION("""COMPUTED_VALUE"""),"IC3K")</f>
        <v>IC3K</v>
      </c>
      <c r="C95" t="str">
        <f>IFERROR(__xludf.DUMMYFUNCTION("""COMPUTED_VALUE"""),"International Joint Conference on Knowledge Discovery, Knowledge Engineering and Knowledge Management")</f>
        <v>International Joint Conference on Knowledge Discovery, Knowledge Engineering and Knowledge Management</v>
      </c>
      <c r="D95" s="141">
        <f>IFERROR(__xludf.DUMMYFUNCTION("""COMPUTED_VALUE"""),10.0)</f>
        <v>10</v>
      </c>
      <c r="E95" s="16" t="str">
        <f>IFERROR(__xludf.DUMMYFUNCTION("""COMPUTED_VALUE"""),"https://scholar.google.com.br/citations?hl=pt-BR&amp;view_op=list_hcore&amp;venue=vt63wi0KkScJ.2024")</f>
        <v>https://scholar.google.com.br/citations?hl=pt-BR&amp;view_op=list_hcore&amp;venue=vt63wi0KkScJ.2024</v>
      </c>
      <c r="F95" s="217"/>
      <c r="I95" s="60" t="str">
        <f>IFERROR(__xludf.DUMMYFUNCTION("""COMPUTED_VALUE"""),"https://dblp.org/db/conf/ic3k/index.html")</f>
        <v>https://dblp.org/db/conf/ic3k/index.html</v>
      </c>
    </row>
    <row r="96">
      <c r="A96" t="str">
        <f>IFERROR(__xludf.DUMMYFUNCTION("""COMPUTED_VALUE"""),"Eventos da Área")</f>
        <v>Eventos da Área</v>
      </c>
      <c r="B96" t="str">
        <f>IFERROR(__xludf.DUMMYFUNCTION("""COMPUTED_VALUE"""),"KR")</f>
        <v>KR</v>
      </c>
      <c r="C96" t="str">
        <f>IFERROR(__xludf.DUMMYFUNCTION("""COMPUTED_VALUE"""),"International Conference on Principles of Knowledge Representation and Reasoning")</f>
        <v>International Conference on Principles of Knowledge Representation and Reasoning</v>
      </c>
      <c r="D96" s="141">
        <f>IFERROR(__xludf.DUMMYFUNCTION("""COMPUTED_VALUE"""),23.0)</f>
        <v>23</v>
      </c>
      <c r="E96" s="16" t="str">
        <f>IFERROR(__xludf.DUMMYFUNCTION("""COMPUTED_VALUE"""),"https://scholar.google.com.br/citations?hl=pt-BR&amp;view_op=list_hcore&amp;venue=mK5NIOh7kkEJ.2024")</f>
        <v>https://scholar.google.com.br/citations?hl=pt-BR&amp;view_op=list_hcore&amp;venue=mK5NIOh7kkEJ.2024</v>
      </c>
      <c r="F96" s="217"/>
      <c r="I96" s="60" t="str">
        <f>IFERROR(__xludf.DUMMYFUNCTION("""COMPUTED_VALUE"""),"https://dblp.org/db/conf/kr/index.html")</f>
        <v>https://dblp.org/db/conf/kr/index.html</v>
      </c>
    </row>
    <row r="97">
      <c r="A97" t="str">
        <f>IFERROR(__xludf.DUMMYFUNCTION("""COMPUTED_VALUE"""),"Eventos da Área")</f>
        <v>Eventos da Área</v>
      </c>
      <c r="B97" t="str">
        <f>IFERROR(__xludf.DUMMYFUNCTION("""COMPUTED_VALUE"""),"LDAV")</f>
        <v>LDAV</v>
      </c>
      <c r="C97" t="str">
        <f>IFERROR(__xludf.DUMMYFUNCTION("""COMPUTED_VALUE"""),"IEEE Symposium on Large Data Analysis and Visualization")</f>
        <v>IEEE Symposium on Large Data Analysis and Visualization</v>
      </c>
      <c r="D97" s="141"/>
      <c r="E97" s="16"/>
      <c r="F97" s="217"/>
      <c r="I97" s="60" t="str">
        <f>IFERROR(__xludf.DUMMYFUNCTION("""COMPUTED_VALUE"""),"https://dblp.org/db/conf/ldav/index.html")</f>
        <v>https://dblp.org/db/conf/ldav/index.html</v>
      </c>
    </row>
    <row r="98">
      <c r="A98" t="str">
        <f>IFERROR(__xludf.DUMMYFUNCTION("""COMPUTED_VALUE"""),"Eventos da Área")</f>
        <v>Eventos da Área</v>
      </c>
      <c r="B98" t="str">
        <f>IFERROR(__xludf.DUMMYFUNCTION("""COMPUTED_VALUE"""),"SIMBig")</f>
        <v>SIMBig</v>
      </c>
      <c r="C98" t="str">
        <f>IFERROR(__xludf.DUMMYFUNCTION("""COMPUTED_VALUE"""),"Annual International Symposium on Information Management and Big Data")</f>
        <v>Annual International Symposium on Information Management and Big Data</v>
      </c>
      <c r="D98" s="141">
        <f>IFERROR(__xludf.DUMMYFUNCTION("""COMPUTED_VALUE"""),8.0)</f>
        <v>8</v>
      </c>
      <c r="E98" s="16" t="str">
        <f>IFERROR(__xludf.DUMMYFUNCTION("""COMPUTED_VALUE"""),"https://scholar.google.com.br/citations?hl=pt-BR&amp;view_op=list_hcore&amp;venue=PSE2-0BFoDQJ.2024")</f>
        <v>https://scholar.google.com.br/citations?hl=pt-BR&amp;view_op=list_hcore&amp;venue=PSE2-0BFoDQJ.2024</v>
      </c>
      <c r="F98" s="217"/>
      <c r="I98" s="60" t="str">
        <f>IFERROR(__xludf.DUMMYFUNCTION("""COMPUTED_VALUE"""),"https://dblp.org/db/conf/simbig/index.html")</f>
        <v>https://dblp.org/db/conf/simbig/index.html</v>
      </c>
    </row>
    <row r="99">
      <c r="A99" t="str">
        <f>IFERROR(__xludf.DUMMYFUNCTION("""COMPUTED_VALUE"""),"Eventos da Área")</f>
        <v>Eventos da Área</v>
      </c>
      <c r="B99" t="str">
        <f>IFERROR(__xludf.DUMMYFUNCTION("""COMPUTED_VALUE"""),"SNAA")</f>
        <v>SNAA</v>
      </c>
      <c r="C99" t="str">
        <f>IFERROR(__xludf.DUMMYFUNCTION("""COMPUTED_VALUE"""),"Workshop on Social Network Analysis in Applications")</f>
        <v>Workshop on Social Network Analysis in Applications</v>
      </c>
      <c r="D99" s="141"/>
      <c r="E99" s="16"/>
      <c r="F99" s="217"/>
    </row>
    <row r="100">
      <c r="A100" t="str">
        <f>IFERROR(__xludf.DUMMYFUNCTION("""COMPUTED_VALUE"""),"Eventos da Área")</f>
        <v>Eventos da Área</v>
      </c>
      <c r="B100" t="str">
        <f>IFERROR(__xludf.DUMMYFUNCTION("""COMPUTED_VALUE"""),"ONTOBRAS")</f>
        <v>ONTOBRAS</v>
      </c>
      <c r="C100" t="str">
        <f>IFERROR(__xludf.DUMMYFUNCTION("""COMPUTED_VALUE"""),"Seminar on Ontology Research in Brazil")</f>
        <v>Seminar on Ontology Research in Brazil</v>
      </c>
      <c r="D100" s="141">
        <f>IFERROR(__xludf.DUMMYFUNCTION("""COMPUTED_VALUE"""),6.0)</f>
        <v>6</v>
      </c>
      <c r="E100" s="16" t="str">
        <f>IFERROR(__xludf.DUMMYFUNCTION("""COMPUTED_VALUE"""),"https://scholar.google.com.br/citations?hl=pt-BR&amp;view_op=list_hcore&amp;venue=xUT2Pv_FWpIJ.2024")</f>
        <v>https://scholar.google.com.br/citations?hl=pt-BR&amp;view_op=list_hcore&amp;venue=xUT2Pv_FWpIJ.2024</v>
      </c>
      <c r="F100" s="217"/>
      <c r="H100" t="str">
        <f>IFERROR(__xludf.DUMMYFUNCTION("""COMPUTED_VALUE"""),"Seminário de Pesquisa em Ontologias no Brasil")</f>
        <v>Seminário de Pesquisa em Ontologias no Brasil</v>
      </c>
      <c r="I100" s="60" t="str">
        <f>IFERROR(__xludf.DUMMYFUNCTION("""COMPUTED_VALUE"""),"https://dblp.org/db/conf/ontobras/index.html")</f>
        <v>https://dblp.org/db/conf/ontobras/index.html</v>
      </c>
    </row>
    <row r="101">
      <c r="A101" t="str">
        <f>IFERROR(__xludf.DUMMYFUNCTION("""COMPUTED_VALUE"""),"Eventos da Área")</f>
        <v>Eventos da Área</v>
      </c>
      <c r="B101" t="str">
        <f>IFERROR(__xludf.DUMMYFUNCTION("""COMPUTED_VALUE"""),"FOIS")</f>
        <v>FOIS</v>
      </c>
      <c r="C101" t="str">
        <f>IFERROR(__xludf.DUMMYFUNCTION("""COMPUTED_VALUE"""),"International Conference on Formal Ontology in Information Systems")</f>
        <v>International Conference on Formal Ontology in Information Systems</v>
      </c>
      <c r="D101" s="141"/>
      <c r="E101" s="16"/>
      <c r="F101" s="217"/>
      <c r="H101" t="str">
        <f>IFERROR(__xludf.DUMMYFUNCTION("""COMPUTED_VALUE"""),"Formal Ontology in Information Systems")</f>
        <v>Formal Ontology in Information Systems</v>
      </c>
      <c r="I101" s="60" t="str">
        <f>IFERROR(__xludf.DUMMYFUNCTION("""COMPUTED_VALUE"""),"https://dblp.org/db/conf/fois/index.html")</f>
        <v>https://dblp.org/db/conf/fois/index.html</v>
      </c>
    </row>
    <row r="102">
      <c r="A102" t="str">
        <f>IFERROR(__xludf.DUMMYFUNCTION("""COMPUTED_VALUE"""),"Eventos da Área")</f>
        <v>Eventos da Área</v>
      </c>
      <c r="B102" t="str">
        <f>IFERROR(__xludf.DUMMYFUNCTION("""COMPUTED_VALUE"""),"SPIRE")</f>
        <v>SPIRE</v>
      </c>
      <c r="C102" t="str">
        <f>IFERROR(__xludf.DUMMYFUNCTION("""COMPUTED_VALUE"""),"International Symposium on String Processing and Information Retrieval")</f>
        <v>International Symposium on String Processing and Information Retrieval</v>
      </c>
      <c r="D102" s="141">
        <f>IFERROR(__xludf.DUMMYFUNCTION("""COMPUTED_VALUE"""),13.0)</f>
        <v>13</v>
      </c>
      <c r="E102" s="16" t="str">
        <f>IFERROR(__xludf.DUMMYFUNCTION("""COMPUTED_VALUE"""),"https://scholar.google.com.br/citations?hl=pt-BR&amp;view_op=list_hcore&amp;venue=XnbofvWLXMEJ.2024")</f>
        <v>https://scholar.google.com.br/citations?hl=pt-BR&amp;view_op=list_hcore&amp;venue=XnbofvWLXMEJ.2024</v>
      </c>
      <c r="F102" s="217"/>
      <c r="I102" s="60" t="str">
        <f>IFERROR(__xludf.DUMMYFUNCTION("""COMPUTED_VALUE"""),"https://dblp.org/db/conf/spire/index.html")</f>
        <v>https://dblp.org/db/conf/spire/index.html</v>
      </c>
    </row>
    <row r="103">
      <c r="A103" t="str">
        <f>IFERROR(__xludf.DUMMYFUNCTION("""COMPUTED_VALUE"""),"Eventos da Área")</f>
        <v>Eventos da Área</v>
      </c>
      <c r="B103" t="str">
        <f>IFERROR(__xludf.DUMMYFUNCTION("""COMPUTED_VALUE"""),"FOMI")</f>
        <v>FOMI</v>
      </c>
      <c r="C103" t="str">
        <f>IFERROR(__xludf.DUMMYFUNCTION("""COMPUTED_VALUE"""),"International Workshop on Formal Ontologies Meet Industry")</f>
        <v>International Workshop on Formal Ontologies Meet Industry</v>
      </c>
      <c r="D103" s="141">
        <f>IFERROR(__xludf.DUMMYFUNCTION("""COMPUTED_VALUE"""),11.0)</f>
        <v>11</v>
      </c>
      <c r="E103" s="16" t="str">
        <f>IFERROR(__xludf.DUMMYFUNCTION("""COMPUTED_VALUE"""),"https://scholar.google.com.br/citations?hl=pt-BR&amp;view_op=list_hcore&amp;venue=ioogpST64ngJ.2024")</f>
        <v>https://scholar.google.com.br/citations?hl=pt-BR&amp;view_op=list_hcore&amp;venue=ioogpST64ngJ.2024</v>
      </c>
      <c r="F103" s="217" t="str">
        <f>IFERROR(__xludf.DUMMYFUNCTION("""COMPUTED_VALUE"""),"FOMI")</f>
        <v>FOMI</v>
      </c>
      <c r="G103" t="str">
        <f>IFERROR(__xludf.DUMMYFUNCTION("""COMPUTED_VALUE"""),"International Workshop on Formal Ontologies Meet Industry")</f>
        <v>International Workshop on Formal Ontologies Meet Industry</v>
      </c>
      <c r="I103" s="60" t="str">
        <f>IFERROR(__xludf.DUMMYFUNCTION("""COMPUTED_VALUE"""),"https://dblp.org/db/conf/fomi/index.html")</f>
        <v>https://dblp.org/db/conf/fomi/index.html</v>
      </c>
    </row>
    <row r="104">
      <c r="D104" s="141"/>
      <c r="E104" s="16"/>
      <c r="F104" s="217"/>
    </row>
    <row r="105">
      <c r="D105" s="141"/>
      <c r="F105" s="217"/>
    </row>
    <row r="106">
      <c r="D106" s="141"/>
      <c r="F106" s="217"/>
    </row>
    <row r="107">
      <c r="D107" s="141"/>
      <c r="F107" s="217"/>
    </row>
    <row r="108">
      <c r="D108" s="141"/>
      <c r="F108" s="217"/>
    </row>
    <row r="109">
      <c r="D109" s="141"/>
      <c r="F109" s="217"/>
    </row>
    <row r="110">
      <c r="D110" s="141"/>
      <c r="F110" s="217"/>
    </row>
    <row r="111">
      <c r="D111" s="141"/>
      <c r="F111" s="217"/>
    </row>
    <row r="112">
      <c r="D112" s="141"/>
      <c r="F112" s="217"/>
    </row>
    <row r="113">
      <c r="D113" s="141"/>
      <c r="F113" s="217"/>
    </row>
    <row r="114">
      <c r="D114" s="141"/>
      <c r="F114" s="217"/>
    </row>
    <row r="115">
      <c r="D115" s="141"/>
      <c r="F115" s="217"/>
    </row>
    <row r="116">
      <c r="D116" s="141"/>
      <c r="F116" s="217"/>
    </row>
    <row r="117">
      <c r="D117" s="141"/>
      <c r="F117" s="217"/>
    </row>
    <row r="118">
      <c r="D118" s="141"/>
      <c r="F118" s="217"/>
    </row>
    <row r="119">
      <c r="D119" s="141"/>
      <c r="F119" s="217"/>
    </row>
    <row r="120">
      <c r="D120" s="141"/>
      <c r="F120" s="217"/>
    </row>
    <row r="121">
      <c r="D121" s="141"/>
      <c r="F121" s="217"/>
    </row>
    <row r="122">
      <c r="D122" s="141"/>
      <c r="F122" s="217"/>
    </row>
    <row r="123">
      <c r="D123" s="141"/>
      <c r="F123" s="217"/>
    </row>
    <row r="124">
      <c r="D124" s="141"/>
      <c r="F124" s="217"/>
    </row>
    <row r="125">
      <c r="D125" s="141"/>
      <c r="F125" s="217"/>
    </row>
    <row r="126">
      <c r="D126" s="141"/>
      <c r="F126" s="217"/>
    </row>
    <row r="127">
      <c r="D127" s="141"/>
      <c r="F127" s="217"/>
    </row>
    <row r="128">
      <c r="D128" s="141"/>
      <c r="F128" s="217"/>
    </row>
    <row r="129">
      <c r="D129" s="141"/>
      <c r="F129" s="217"/>
    </row>
    <row r="130">
      <c r="D130" s="141"/>
      <c r="F130" s="217"/>
    </row>
    <row r="131">
      <c r="D131" s="141"/>
      <c r="F131" s="217"/>
    </row>
    <row r="132">
      <c r="D132" s="141"/>
      <c r="F132" s="217"/>
    </row>
    <row r="133">
      <c r="D133" s="141"/>
      <c r="F133" s="217"/>
    </row>
    <row r="134">
      <c r="D134" s="141"/>
      <c r="F134" s="217"/>
    </row>
    <row r="135">
      <c r="D135" s="141"/>
      <c r="F135" s="217"/>
    </row>
    <row r="136">
      <c r="D136" s="141"/>
      <c r="F136" s="217"/>
    </row>
    <row r="137">
      <c r="D137" s="141"/>
      <c r="F137" s="217"/>
    </row>
    <row r="138">
      <c r="D138" s="141"/>
      <c r="F138" s="217"/>
    </row>
    <row r="139">
      <c r="D139" s="141"/>
      <c r="F139" s="217"/>
    </row>
    <row r="140">
      <c r="D140" s="141"/>
      <c r="F140" s="217"/>
    </row>
    <row r="141">
      <c r="D141" s="141"/>
      <c r="F141" s="217"/>
    </row>
    <row r="142">
      <c r="D142" s="141"/>
      <c r="F142" s="217"/>
    </row>
    <row r="143">
      <c r="D143" s="141"/>
      <c r="F143" s="217"/>
    </row>
    <row r="144">
      <c r="D144" s="141"/>
      <c r="F144" s="217"/>
    </row>
    <row r="145">
      <c r="D145" s="141"/>
      <c r="F145" s="217"/>
    </row>
    <row r="146">
      <c r="D146" s="141"/>
      <c r="F146" s="217"/>
    </row>
    <row r="147">
      <c r="D147" s="141"/>
      <c r="F147" s="217"/>
    </row>
    <row r="148">
      <c r="D148" s="141"/>
      <c r="F148" s="217"/>
    </row>
    <row r="149">
      <c r="D149" s="141"/>
      <c r="F149" s="217"/>
    </row>
    <row r="150">
      <c r="D150" s="141"/>
      <c r="F150" s="217"/>
    </row>
    <row r="151">
      <c r="D151" s="141"/>
      <c r="F151" s="217"/>
    </row>
    <row r="152">
      <c r="D152" s="141"/>
      <c r="F152" s="217"/>
    </row>
    <row r="153">
      <c r="D153" s="141"/>
      <c r="F153" s="217"/>
    </row>
    <row r="154">
      <c r="D154" s="141"/>
      <c r="F154" s="217"/>
    </row>
    <row r="155">
      <c r="D155" s="141"/>
      <c r="F155" s="217"/>
    </row>
    <row r="156">
      <c r="D156" s="141"/>
      <c r="F156" s="217"/>
    </row>
    <row r="157">
      <c r="D157" s="141"/>
      <c r="F157" s="217"/>
    </row>
    <row r="158">
      <c r="D158" s="141"/>
      <c r="F158" s="217"/>
    </row>
    <row r="159">
      <c r="D159" s="141"/>
      <c r="F159" s="217"/>
    </row>
    <row r="160">
      <c r="D160" s="141"/>
      <c r="F160" s="217"/>
    </row>
    <row r="161">
      <c r="D161" s="141"/>
      <c r="F161" s="217"/>
    </row>
    <row r="162">
      <c r="D162" s="141"/>
      <c r="F162" s="217"/>
    </row>
    <row r="163">
      <c r="D163" s="141"/>
      <c r="F163" s="217"/>
    </row>
    <row r="164">
      <c r="D164" s="141"/>
      <c r="F164" s="217"/>
    </row>
    <row r="165">
      <c r="D165" s="141"/>
      <c r="F165" s="217"/>
    </row>
    <row r="166">
      <c r="D166" s="141"/>
      <c r="F166" s="217"/>
    </row>
    <row r="167">
      <c r="D167" s="141"/>
      <c r="F167" s="217"/>
    </row>
    <row r="168">
      <c r="D168" s="141"/>
      <c r="F168" s="217"/>
    </row>
    <row r="169">
      <c r="D169" s="141"/>
      <c r="F169" s="217"/>
    </row>
    <row r="170">
      <c r="D170" s="141"/>
      <c r="F170" s="217"/>
    </row>
    <row r="171">
      <c r="D171" s="141"/>
      <c r="F171" s="217"/>
    </row>
    <row r="172">
      <c r="D172" s="141"/>
      <c r="F172" s="217"/>
    </row>
    <row r="173">
      <c r="D173" s="141"/>
      <c r="F173" s="217"/>
    </row>
    <row r="174">
      <c r="D174" s="141"/>
      <c r="F174" s="217"/>
    </row>
    <row r="175">
      <c r="D175" s="141"/>
      <c r="F175" s="217"/>
    </row>
    <row r="176">
      <c r="D176" s="141"/>
      <c r="F176" s="217"/>
    </row>
    <row r="177">
      <c r="D177" s="141"/>
      <c r="F177" s="217"/>
    </row>
    <row r="178">
      <c r="D178" s="141"/>
      <c r="F178" s="217"/>
    </row>
    <row r="179">
      <c r="D179" s="141"/>
      <c r="F179" s="217"/>
    </row>
    <row r="180">
      <c r="D180" s="141"/>
      <c r="F180" s="217"/>
    </row>
    <row r="181">
      <c r="D181" s="141"/>
      <c r="F181" s="217"/>
    </row>
    <row r="182">
      <c r="D182" s="141"/>
      <c r="F182" s="217"/>
    </row>
    <row r="183">
      <c r="D183" s="141"/>
      <c r="F183" s="217"/>
    </row>
    <row r="184">
      <c r="D184" s="141"/>
      <c r="F184" s="217"/>
    </row>
    <row r="185">
      <c r="D185" s="141"/>
      <c r="F185" s="217"/>
    </row>
    <row r="186">
      <c r="D186" s="141"/>
      <c r="F186" s="217"/>
    </row>
    <row r="187">
      <c r="D187" s="141"/>
      <c r="F187" s="217"/>
    </row>
    <row r="188">
      <c r="D188" s="141"/>
      <c r="F188" s="217"/>
    </row>
    <row r="189">
      <c r="D189" s="141"/>
      <c r="F189" s="217"/>
    </row>
    <row r="190">
      <c r="D190" s="141"/>
      <c r="F190" s="217"/>
    </row>
    <row r="191">
      <c r="D191" s="141"/>
      <c r="F191" s="217"/>
    </row>
    <row r="192">
      <c r="D192" s="141"/>
      <c r="F192" s="217"/>
    </row>
    <row r="193">
      <c r="D193" s="141"/>
      <c r="F193" s="217"/>
    </row>
    <row r="194">
      <c r="D194" s="141"/>
      <c r="F194" s="217"/>
    </row>
    <row r="195">
      <c r="D195" s="141"/>
      <c r="F195" s="217"/>
    </row>
    <row r="196">
      <c r="D196" s="141"/>
      <c r="F196" s="217"/>
    </row>
    <row r="197">
      <c r="D197" s="141"/>
      <c r="F197" s="217"/>
    </row>
    <row r="198">
      <c r="D198" s="141"/>
      <c r="F198" s="217"/>
    </row>
    <row r="199">
      <c r="D199" s="141"/>
      <c r="F199" s="217"/>
    </row>
    <row r="200">
      <c r="D200" s="141"/>
      <c r="F200" s="217"/>
    </row>
    <row r="201">
      <c r="D201" s="141"/>
      <c r="F201" s="217"/>
    </row>
    <row r="202">
      <c r="D202" s="141"/>
      <c r="F202" s="217"/>
    </row>
    <row r="203">
      <c r="D203" s="141"/>
      <c r="F203" s="217"/>
    </row>
    <row r="204">
      <c r="D204" s="141"/>
      <c r="F204" s="217"/>
    </row>
    <row r="205">
      <c r="D205" s="141"/>
      <c r="F205" s="217"/>
    </row>
    <row r="206">
      <c r="D206" s="141"/>
      <c r="F206" s="217"/>
    </row>
    <row r="207">
      <c r="D207" s="141"/>
      <c r="F207" s="217"/>
    </row>
    <row r="208">
      <c r="D208" s="141"/>
      <c r="F208" s="217"/>
    </row>
    <row r="209">
      <c r="D209" s="141"/>
      <c r="F209" s="217"/>
    </row>
    <row r="210">
      <c r="D210" s="141"/>
      <c r="F210" s="217"/>
    </row>
    <row r="211">
      <c r="D211" s="141"/>
      <c r="F211" s="217"/>
    </row>
    <row r="212">
      <c r="D212" s="141"/>
      <c r="F212" s="217"/>
    </row>
    <row r="213">
      <c r="D213" s="141"/>
      <c r="F213" s="217"/>
    </row>
    <row r="214">
      <c r="D214" s="141"/>
      <c r="F214" s="217"/>
    </row>
    <row r="215">
      <c r="D215" s="141"/>
      <c r="F215" s="217"/>
    </row>
    <row r="216">
      <c r="D216" s="141"/>
      <c r="F216" s="217"/>
    </row>
    <row r="217">
      <c r="D217" s="141"/>
      <c r="F217" s="217"/>
    </row>
    <row r="218">
      <c r="D218" s="141"/>
      <c r="F218" s="217"/>
    </row>
    <row r="219">
      <c r="D219" s="141"/>
      <c r="F219" s="217"/>
    </row>
    <row r="220">
      <c r="D220" s="141"/>
      <c r="F220" s="217"/>
    </row>
    <row r="221">
      <c r="D221" s="141"/>
      <c r="F221" s="217"/>
    </row>
    <row r="222">
      <c r="D222" s="141"/>
      <c r="F222" s="217"/>
    </row>
    <row r="223">
      <c r="D223" s="141"/>
      <c r="F223" s="217"/>
    </row>
    <row r="224">
      <c r="D224" s="141"/>
      <c r="F224" s="217"/>
    </row>
    <row r="225">
      <c r="D225" s="141"/>
      <c r="F225" s="217"/>
    </row>
    <row r="226">
      <c r="D226" s="141"/>
      <c r="F226" s="217"/>
    </row>
    <row r="227">
      <c r="D227" s="141"/>
      <c r="F227" s="217"/>
    </row>
    <row r="228">
      <c r="D228" s="141"/>
      <c r="F228" s="217"/>
    </row>
    <row r="229">
      <c r="D229" s="141"/>
      <c r="F229" s="217"/>
    </row>
    <row r="230">
      <c r="D230" s="141"/>
      <c r="F230" s="217"/>
    </row>
    <row r="231">
      <c r="D231" s="141"/>
      <c r="F231" s="217"/>
    </row>
    <row r="232">
      <c r="D232" s="141"/>
      <c r="F232" s="217"/>
    </row>
    <row r="233">
      <c r="D233" s="141"/>
      <c r="F233" s="217"/>
    </row>
    <row r="234">
      <c r="D234" s="141"/>
      <c r="F234" s="217"/>
    </row>
    <row r="235">
      <c r="D235" s="141"/>
      <c r="F235" s="217"/>
    </row>
    <row r="236">
      <c r="D236" s="141"/>
      <c r="F236" s="217"/>
    </row>
    <row r="237">
      <c r="D237" s="141"/>
      <c r="F237" s="217"/>
    </row>
    <row r="238">
      <c r="D238" s="141"/>
      <c r="F238" s="217"/>
    </row>
    <row r="239">
      <c r="D239" s="141"/>
      <c r="F239" s="217"/>
    </row>
    <row r="240">
      <c r="D240" s="141"/>
      <c r="F240" s="217"/>
    </row>
    <row r="241">
      <c r="D241" s="141"/>
      <c r="F241" s="217"/>
    </row>
    <row r="242">
      <c r="D242" s="141"/>
      <c r="F242" s="217"/>
    </row>
    <row r="243">
      <c r="D243" s="141"/>
      <c r="F243" s="217"/>
    </row>
    <row r="244">
      <c r="D244" s="141"/>
      <c r="F244" s="217"/>
    </row>
    <row r="245">
      <c r="D245" s="141"/>
      <c r="F245" s="217"/>
    </row>
    <row r="246">
      <c r="D246" s="141"/>
      <c r="F246" s="217"/>
    </row>
    <row r="247">
      <c r="D247" s="141"/>
      <c r="F247" s="217"/>
    </row>
    <row r="248">
      <c r="D248" s="141"/>
      <c r="F248" s="217"/>
    </row>
    <row r="249">
      <c r="D249" s="141"/>
      <c r="F249" s="217"/>
    </row>
    <row r="250">
      <c r="D250" s="141"/>
      <c r="F250" s="217"/>
    </row>
    <row r="251">
      <c r="D251" s="141"/>
      <c r="F251" s="217"/>
    </row>
    <row r="252">
      <c r="D252" s="141"/>
      <c r="F252" s="217"/>
    </row>
    <row r="253">
      <c r="D253" s="141"/>
      <c r="F253" s="217"/>
    </row>
    <row r="254">
      <c r="D254" s="141"/>
      <c r="F254" s="217"/>
    </row>
    <row r="255">
      <c r="D255" s="141"/>
      <c r="F255" s="217"/>
    </row>
    <row r="256">
      <c r="D256" s="141"/>
      <c r="F256" s="217"/>
    </row>
    <row r="257">
      <c r="D257" s="141"/>
      <c r="F257" s="217"/>
    </row>
    <row r="258">
      <c r="D258" s="141"/>
      <c r="F258" s="217"/>
    </row>
    <row r="259">
      <c r="D259" s="141"/>
      <c r="F259" s="217"/>
    </row>
    <row r="260">
      <c r="D260" s="141"/>
      <c r="F260" s="217"/>
    </row>
    <row r="261">
      <c r="D261" s="141"/>
      <c r="F261" s="217"/>
    </row>
    <row r="262">
      <c r="D262" s="141"/>
      <c r="F262" s="217"/>
    </row>
    <row r="263">
      <c r="D263" s="141"/>
      <c r="F263" s="217"/>
    </row>
    <row r="264">
      <c r="D264" s="141"/>
      <c r="F264" s="217"/>
    </row>
    <row r="265">
      <c r="D265" s="141"/>
      <c r="F265" s="217"/>
    </row>
    <row r="266">
      <c r="D266" s="141"/>
      <c r="F266" s="217"/>
    </row>
    <row r="267">
      <c r="D267" s="141"/>
      <c r="F267" s="217"/>
    </row>
    <row r="268">
      <c r="D268" s="141"/>
      <c r="F268" s="217"/>
    </row>
    <row r="269">
      <c r="D269" s="141"/>
      <c r="F269" s="217"/>
    </row>
    <row r="270">
      <c r="D270" s="141"/>
      <c r="F270" s="217"/>
    </row>
    <row r="271">
      <c r="D271" s="141"/>
      <c r="F271" s="217"/>
    </row>
    <row r="272">
      <c r="D272" s="141"/>
      <c r="F272" s="217"/>
    </row>
    <row r="273">
      <c r="D273" s="141"/>
      <c r="F273" s="217"/>
    </row>
    <row r="274">
      <c r="D274" s="141"/>
      <c r="F274" s="217"/>
    </row>
    <row r="275">
      <c r="D275" s="141"/>
      <c r="F275" s="217"/>
    </row>
    <row r="276">
      <c r="D276" s="141"/>
      <c r="F276" s="217"/>
    </row>
    <row r="277">
      <c r="D277" s="141"/>
      <c r="F277" s="217"/>
    </row>
    <row r="278">
      <c r="D278" s="141"/>
      <c r="F278" s="217"/>
    </row>
    <row r="279">
      <c r="D279" s="141"/>
      <c r="F279" s="217"/>
    </row>
    <row r="280">
      <c r="D280" s="141"/>
      <c r="F280" s="217"/>
    </row>
    <row r="281">
      <c r="D281" s="141"/>
      <c r="F281" s="217"/>
    </row>
    <row r="282">
      <c r="D282" s="141"/>
      <c r="F282" s="217"/>
    </row>
    <row r="283">
      <c r="D283" s="141"/>
      <c r="F283" s="217"/>
    </row>
    <row r="284">
      <c r="D284" s="141"/>
      <c r="F284" s="217"/>
    </row>
    <row r="285">
      <c r="D285" s="141"/>
      <c r="F285" s="217"/>
    </row>
    <row r="286">
      <c r="D286" s="141"/>
      <c r="F286" s="217"/>
    </row>
    <row r="287">
      <c r="D287" s="141"/>
      <c r="F287" s="217"/>
    </row>
    <row r="288">
      <c r="D288" s="141"/>
      <c r="F288" s="217"/>
    </row>
    <row r="289">
      <c r="D289" s="141"/>
      <c r="F289" s="217"/>
    </row>
    <row r="290">
      <c r="D290" s="141"/>
      <c r="F290" s="217"/>
    </row>
    <row r="291">
      <c r="D291" s="141"/>
      <c r="F291" s="217"/>
    </row>
    <row r="292">
      <c r="D292" s="141"/>
      <c r="F292" s="217"/>
    </row>
    <row r="293">
      <c r="D293" s="141"/>
      <c r="F293" s="217"/>
    </row>
    <row r="294">
      <c r="D294" s="141"/>
      <c r="F294" s="217"/>
    </row>
    <row r="295">
      <c r="D295" s="141"/>
      <c r="F295" s="217"/>
    </row>
    <row r="296">
      <c r="D296" s="141"/>
      <c r="F296" s="217"/>
    </row>
    <row r="297">
      <c r="D297" s="141"/>
      <c r="F297" s="217"/>
    </row>
    <row r="298">
      <c r="D298" s="141"/>
      <c r="F298" s="217"/>
    </row>
    <row r="299">
      <c r="D299" s="141"/>
      <c r="F299" s="217"/>
    </row>
    <row r="300">
      <c r="D300" s="141"/>
      <c r="F300" s="217"/>
    </row>
    <row r="301">
      <c r="D301" s="141"/>
      <c r="F301" s="217"/>
    </row>
    <row r="302">
      <c r="D302" s="141"/>
      <c r="F302" s="217"/>
    </row>
    <row r="303">
      <c r="D303" s="141"/>
      <c r="F303" s="217"/>
    </row>
    <row r="304">
      <c r="D304" s="141"/>
      <c r="F304" s="217"/>
    </row>
    <row r="305">
      <c r="D305" s="141"/>
      <c r="F305" s="217"/>
    </row>
    <row r="306">
      <c r="D306" s="141"/>
      <c r="F306" s="217"/>
    </row>
    <row r="307">
      <c r="D307" s="141"/>
      <c r="F307" s="217"/>
    </row>
    <row r="308">
      <c r="D308" s="141"/>
      <c r="F308" s="217"/>
    </row>
    <row r="309">
      <c r="D309" s="141"/>
      <c r="F309" s="217"/>
    </row>
    <row r="310">
      <c r="D310" s="141"/>
      <c r="F310" s="217"/>
    </row>
    <row r="311">
      <c r="D311" s="141"/>
      <c r="F311" s="217"/>
    </row>
    <row r="312">
      <c r="D312" s="141"/>
      <c r="F312" s="217"/>
    </row>
    <row r="313">
      <c r="D313" s="141"/>
      <c r="F313" s="217"/>
    </row>
    <row r="314">
      <c r="D314" s="141"/>
      <c r="F314" s="217"/>
    </row>
    <row r="315">
      <c r="D315" s="141"/>
      <c r="F315" s="217"/>
    </row>
    <row r="316">
      <c r="D316" s="141"/>
      <c r="F316" s="217"/>
    </row>
    <row r="317">
      <c r="D317" s="141"/>
      <c r="F317" s="217"/>
    </row>
    <row r="318">
      <c r="D318" s="141"/>
      <c r="F318" s="217"/>
    </row>
    <row r="319">
      <c r="D319" s="141"/>
      <c r="F319" s="217"/>
    </row>
    <row r="320">
      <c r="D320" s="141"/>
      <c r="F320" s="217"/>
    </row>
    <row r="321">
      <c r="D321" s="141"/>
      <c r="F321" s="217"/>
    </row>
    <row r="322">
      <c r="D322" s="141"/>
      <c r="F322" s="217"/>
    </row>
    <row r="323">
      <c r="D323" s="141"/>
      <c r="F323" s="217"/>
    </row>
    <row r="324">
      <c r="D324" s="141"/>
      <c r="F324" s="217"/>
    </row>
    <row r="325">
      <c r="D325" s="141"/>
      <c r="F325" s="217"/>
    </row>
    <row r="326">
      <c r="D326" s="141"/>
      <c r="F326" s="217"/>
    </row>
    <row r="327">
      <c r="D327" s="141"/>
      <c r="F327" s="217"/>
    </row>
    <row r="328">
      <c r="D328" s="141"/>
      <c r="F328" s="217"/>
    </row>
    <row r="329">
      <c r="D329" s="141"/>
      <c r="F329" s="217"/>
    </row>
    <row r="330">
      <c r="D330" s="141"/>
      <c r="F330" s="217"/>
    </row>
    <row r="331">
      <c r="D331" s="141"/>
      <c r="F331" s="217"/>
    </row>
    <row r="332">
      <c r="D332" s="141"/>
      <c r="F332" s="217"/>
    </row>
    <row r="333">
      <c r="D333" s="141"/>
      <c r="F333" s="217"/>
    </row>
    <row r="334">
      <c r="D334" s="141"/>
      <c r="F334" s="217"/>
    </row>
    <row r="335">
      <c r="D335" s="141"/>
      <c r="F335" s="217"/>
    </row>
    <row r="336">
      <c r="D336" s="141"/>
      <c r="F336" s="217"/>
    </row>
    <row r="337">
      <c r="D337" s="141"/>
      <c r="F337" s="217"/>
    </row>
    <row r="338">
      <c r="D338" s="141"/>
      <c r="F338" s="217"/>
    </row>
    <row r="339">
      <c r="D339" s="141"/>
      <c r="F339" s="217"/>
    </row>
    <row r="340">
      <c r="D340" s="141"/>
      <c r="F340" s="217"/>
    </row>
    <row r="341">
      <c r="D341" s="141"/>
      <c r="F341" s="217"/>
    </row>
    <row r="342">
      <c r="D342" s="141"/>
      <c r="F342" s="217"/>
    </row>
    <row r="343">
      <c r="D343" s="141"/>
      <c r="F343" s="217"/>
    </row>
    <row r="344">
      <c r="D344" s="141"/>
      <c r="F344" s="217"/>
    </row>
    <row r="345">
      <c r="D345" s="141"/>
      <c r="F345" s="217"/>
    </row>
    <row r="346">
      <c r="D346" s="141"/>
      <c r="F346" s="217"/>
    </row>
    <row r="347">
      <c r="D347" s="141"/>
      <c r="F347" s="217"/>
    </row>
    <row r="348">
      <c r="D348" s="141"/>
      <c r="F348" s="217"/>
    </row>
    <row r="349">
      <c r="D349" s="141"/>
      <c r="F349" s="217"/>
    </row>
    <row r="350">
      <c r="D350" s="141"/>
      <c r="F350" s="217"/>
    </row>
    <row r="351">
      <c r="D351" s="141"/>
      <c r="F351" s="217"/>
    </row>
    <row r="352">
      <c r="D352" s="141"/>
      <c r="F352" s="217"/>
    </row>
    <row r="353">
      <c r="D353" s="141"/>
      <c r="F353" s="217"/>
    </row>
    <row r="354">
      <c r="D354" s="141"/>
      <c r="F354" s="217"/>
    </row>
    <row r="355">
      <c r="D355" s="141"/>
      <c r="F355" s="217"/>
    </row>
    <row r="356">
      <c r="D356" s="141"/>
      <c r="F356" s="217"/>
    </row>
    <row r="357">
      <c r="D357" s="141"/>
      <c r="F357" s="217"/>
    </row>
    <row r="358">
      <c r="D358" s="141"/>
      <c r="F358" s="217"/>
    </row>
    <row r="359">
      <c r="D359" s="141"/>
      <c r="F359" s="217"/>
    </row>
    <row r="360">
      <c r="D360" s="141"/>
      <c r="F360" s="217"/>
    </row>
    <row r="361">
      <c r="D361" s="141"/>
      <c r="F361" s="217"/>
    </row>
    <row r="362">
      <c r="D362" s="141"/>
      <c r="F362" s="217"/>
    </row>
    <row r="363">
      <c r="D363" s="141"/>
      <c r="F363" s="217"/>
    </row>
    <row r="364">
      <c r="D364" s="141"/>
      <c r="F364" s="217"/>
    </row>
    <row r="365">
      <c r="D365" s="141"/>
      <c r="F365" s="217"/>
    </row>
    <row r="366">
      <c r="D366" s="141"/>
      <c r="F366" s="217"/>
    </row>
    <row r="367">
      <c r="D367" s="141"/>
      <c r="F367" s="217"/>
    </row>
    <row r="368">
      <c r="D368" s="141"/>
      <c r="F368" s="217"/>
    </row>
    <row r="369">
      <c r="D369" s="141"/>
      <c r="F369" s="217"/>
    </row>
    <row r="370">
      <c r="D370" s="141"/>
      <c r="F370" s="217"/>
    </row>
    <row r="371">
      <c r="D371" s="141"/>
      <c r="F371" s="217"/>
    </row>
    <row r="372">
      <c r="D372" s="141"/>
      <c r="F372" s="217"/>
    </row>
    <row r="373">
      <c r="D373" s="141"/>
      <c r="F373" s="217"/>
    </row>
    <row r="374">
      <c r="D374" s="141"/>
      <c r="F374" s="217"/>
    </row>
    <row r="375">
      <c r="D375" s="141"/>
      <c r="F375" s="217"/>
    </row>
    <row r="376">
      <c r="D376" s="141"/>
      <c r="F376" s="217"/>
    </row>
    <row r="377">
      <c r="D377" s="141"/>
      <c r="F377" s="217"/>
    </row>
    <row r="378">
      <c r="D378" s="141"/>
      <c r="F378" s="217"/>
    </row>
    <row r="379">
      <c r="D379" s="141"/>
      <c r="F379" s="217"/>
    </row>
    <row r="380">
      <c r="D380" s="141"/>
      <c r="F380" s="217"/>
    </row>
    <row r="381">
      <c r="D381" s="141"/>
      <c r="F381" s="217"/>
    </row>
    <row r="382">
      <c r="D382" s="141"/>
      <c r="F382" s="217"/>
    </row>
    <row r="383">
      <c r="D383" s="141"/>
      <c r="F383" s="217"/>
    </row>
    <row r="384">
      <c r="D384" s="141"/>
      <c r="F384" s="217"/>
    </row>
    <row r="385">
      <c r="D385" s="141"/>
      <c r="F385" s="217"/>
    </row>
    <row r="386">
      <c r="D386" s="141"/>
      <c r="F386" s="217"/>
    </row>
    <row r="387">
      <c r="D387" s="141"/>
      <c r="F387" s="217"/>
    </row>
    <row r="388">
      <c r="D388" s="141"/>
      <c r="F388" s="217"/>
    </row>
    <row r="389">
      <c r="D389" s="141"/>
      <c r="F389" s="217"/>
    </row>
    <row r="390">
      <c r="D390" s="141"/>
      <c r="F390" s="217"/>
    </row>
    <row r="391">
      <c r="D391" s="141"/>
      <c r="F391" s="217"/>
    </row>
    <row r="392">
      <c r="D392" s="141"/>
      <c r="F392" s="217"/>
    </row>
    <row r="393">
      <c r="D393" s="141"/>
      <c r="F393" s="217"/>
    </row>
    <row r="394">
      <c r="D394" s="141"/>
      <c r="F394" s="217"/>
    </row>
    <row r="395">
      <c r="D395" s="141"/>
      <c r="F395" s="217"/>
    </row>
    <row r="396">
      <c r="D396" s="141"/>
      <c r="F396" s="217"/>
    </row>
    <row r="397">
      <c r="D397" s="141"/>
      <c r="F397" s="217"/>
    </row>
    <row r="398">
      <c r="D398" s="141"/>
      <c r="F398" s="217"/>
    </row>
    <row r="399">
      <c r="D399" s="141"/>
      <c r="F399" s="217"/>
    </row>
    <row r="400">
      <c r="D400" s="141"/>
      <c r="F400" s="217"/>
    </row>
    <row r="401">
      <c r="D401" s="141"/>
      <c r="F401" s="217"/>
    </row>
    <row r="402">
      <c r="D402" s="141"/>
      <c r="F402" s="217"/>
    </row>
    <row r="403">
      <c r="D403" s="141"/>
      <c r="F403" s="217"/>
    </row>
    <row r="404">
      <c r="D404" s="141"/>
      <c r="F404" s="217"/>
    </row>
    <row r="405">
      <c r="D405" s="141"/>
      <c r="F405" s="217"/>
    </row>
    <row r="406">
      <c r="D406" s="141"/>
      <c r="F406" s="217"/>
    </row>
    <row r="407">
      <c r="D407" s="141"/>
      <c r="F407" s="217"/>
    </row>
    <row r="408">
      <c r="D408" s="141"/>
      <c r="F408" s="217"/>
    </row>
    <row r="409">
      <c r="D409" s="141"/>
      <c r="F409" s="217"/>
    </row>
    <row r="410">
      <c r="D410" s="141"/>
      <c r="F410" s="217"/>
    </row>
    <row r="411">
      <c r="D411" s="141"/>
      <c r="F411" s="217"/>
    </row>
    <row r="412">
      <c r="D412" s="141"/>
      <c r="F412" s="217"/>
    </row>
    <row r="413">
      <c r="D413" s="141"/>
      <c r="F413" s="217"/>
    </row>
    <row r="414">
      <c r="D414" s="141"/>
      <c r="F414" s="217"/>
    </row>
    <row r="415">
      <c r="D415" s="141"/>
      <c r="F415" s="217"/>
    </row>
    <row r="416">
      <c r="D416" s="141"/>
      <c r="F416" s="217"/>
    </row>
    <row r="417">
      <c r="D417" s="141"/>
      <c r="F417" s="217"/>
    </row>
    <row r="418">
      <c r="D418" s="141"/>
      <c r="F418" s="217"/>
    </row>
    <row r="419">
      <c r="D419" s="141"/>
      <c r="F419" s="217"/>
    </row>
    <row r="420">
      <c r="D420" s="141"/>
      <c r="F420" s="217"/>
    </row>
    <row r="421">
      <c r="D421" s="141"/>
      <c r="F421" s="217"/>
    </row>
    <row r="422">
      <c r="D422" s="141"/>
      <c r="F422" s="217"/>
    </row>
    <row r="423">
      <c r="D423" s="141"/>
      <c r="F423" s="217"/>
    </row>
    <row r="424">
      <c r="D424" s="141"/>
      <c r="F424" s="217"/>
    </row>
    <row r="425">
      <c r="D425" s="141"/>
      <c r="F425" s="217"/>
    </row>
    <row r="426">
      <c r="D426" s="141"/>
      <c r="F426" s="217"/>
    </row>
    <row r="427">
      <c r="D427" s="141"/>
      <c r="F427" s="217"/>
    </row>
    <row r="428">
      <c r="D428" s="141"/>
      <c r="F428" s="217"/>
    </row>
    <row r="429">
      <c r="D429" s="141"/>
      <c r="F429" s="217"/>
    </row>
    <row r="430">
      <c r="D430" s="141"/>
      <c r="F430" s="217"/>
    </row>
    <row r="431">
      <c r="D431" s="141"/>
      <c r="F431" s="217"/>
    </row>
    <row r="432">
      <c r="D432" s="141"/>
      <c r="F432" s="217"/>
    </row>
    <row r="433">
      <c r="D433" s="141"/>
      <c r="F433" s="217"/>
    </row>
    <row r="434">
      <c r="D434" s="141"/>
      <c r="F434" s="217"/>
    </row>
    <row r="435">
      <c r="D435" s="141"/>
      <c r="F435" s="217"/>
    </row>
    <row r="436">
      <c r="D436" s="141"/>
      <c r="F436" s="217"/>
    </row>
    <row r="437">
      <c r="D437" s="141"/>
      <c r="F437" s="217"/>
    </row>
    <row r="438">
      <c r="D438" s="141"/>
      <c r="F438" s="217"/>
    </row>
    <row r="439">
      <c r="D439" s="141"/>
      <c r="F439" s="217"/>
    </row>
    <row r="440">
      <c r="D440" s="141"/>
      <c r="F440" s="217"/>
    </row>
    <row r="441">
      <c r="D441" s="141"/>
      <c r="F441" s="217"/>
    </row>
    <row r="442">
      <c r="D442" s="141"/>
      <c r="F442" s="217"/>
    </row>
    <row r="443">
      <c r="D443" s="141"/>
      <c r="F443" s="217"/>
    </row>
    <row r="444">
      <c r="D444" s="141"/>
      <c r="F444" s="217"/>
    </row>
    <row r="445">
      <c r="D445" s="141"/>
      <c r="F445" s="217"/>
    </row>
    <row r="446">
      <c r="D446" s="141"/>
      <c r="F446" s="217"/>
    </row>
    <row r="447">
      <c r="D447" s="141"/>
      <c r="F447" s="217"/>
    </row>
    <row r="448">
      <c r="D448" s="141"/>
      <c r="F448" s="217"/>
    </row>
    <row r="449">
      <c r="D449" s="141"/>
      <c r="F449" s="217"/>
    </row>
    <row r="450">
      <c r="D450" s="141"/>
      <c r="F450" s="217"/>
    </row>
    <row r="451">
      <c r="D451" s="141"/>
      <c r="F451" s="217"/>
    </row>
    <row r="452">
      <c r="D452" s="141"/>
      <c r="F452" s="217"/>
    </row>
    <row r="453">
      <c r="D453" s="141"/>
      <c r="F453" s="217"/>
    </row>
    <row r="454">
      <c r="D454" s="141"/>
      <c r="F454" s="217"/>
    </row>
    <row r="455">
      <c r="D455" s="141"/>
      <c r="F455" s="217"/>
    </row>
    <row r="456">
      <c r="D456" s="141"/>
      <c r="F456" s="217"/>
    </row>
    <row r="457">
      <c r="D457" s="141"/>
      <c r="F457" s="217"/>
    </row>
    <row r="458">
      <c r="D458" s="141"/>
      <c r="F458" s="217"/>
    </row>
    <row r="459">
      <c r="D459" s="141"/>
      <c r="F459" s="217"/>
    </row>
    <row r="460">
      <c r="D460" s="141"/>
      <c r="F460" s="217"/>
    </row>
    <row r="461">
      <c r="D461" s="141"/>
      <c r="F461" s="217"/>
    </row>
    <row r="462">
      <c r="D462" s="141"/>
      <c r="F462" s="217"/>
    </row>
    <row r="463">
      <c r="D463" s="141"/>
      <c r="F463" s="217"/>
    </row>
    <row r="464">
      <c r="D464" s="141"/>
      <c r="F464" s="217"/>
    </row>
    <row r="465">
      <c r="D465" s="141"/>
      <c r="F465" s="217"/>
    </row>
    <row r="466">
      <c r="D466" s="141"/>
      <c r="F466" s="217"/>
    </row>
    <row r="467">
      <c r="D467" s="141"/>
      <c r="F467" s="217"/>
    </row>
    <row r="468">
      <c r="D468" s="141"/>
      <c r="F468" s="217"/>
    </row>
    <row r="469">
      <c r="D469" s="141"/>
      <c r="F469" s="217"/>
    </row>
    <row r="470">
      <c r="D470" s="141"/>
      <c r="F470" s="217"/>
    </row>
    <row r="471">
      <c r="D471" s="141"/>
      <c r="F471" s="217"/>
    </row>
    <row r="472">
      <c r="D472" s="141"/>
      <c r="F472" s="217"/>
    </row>
    <row r="473">
      <c r="D473" s="141"/>
      <c r="F473" s="217"/>
    </row>
    <row r="474">
      <c r="D474" s="141"/>
      <c r="F474" s="217"/>
    </row>
    <row r="475">
      <c r="D475" s="141"/>
      <c r="F475" s="217"/>
    </row>
    <row r="476">
      <c r="D476" s="141"/>
      <c r="F476" s="217"/>
    </row>
    <row r="477">
      <c r="D477" s="141"/>
      <c r="F477" s="217"/>
    </row>
    <row r="478">
      <c r="D478" s="141"/>
      <c r="F478" s="217"/>
    </row>
    <row r="479">
      <c r="D479" s="141"/>
      <c r="F479" s="217"/>
    </row>
    <row r="480">
      <c r="D480" s="141"/>
      <c r="F480" s="217"/>
    </row>
    <row r="481">
      <c r="D481" s="141"/>
      <c r="F481" s="217"/>
    </row>
    <row r="482">
      <c r="D482" s="141"/>
      <c r="F482" s="217"/>
    </row>
    <row r="483">
      <c r="D483" s="141"/>
      <c r="F483" s="217"/>
    </row>
    <row r="484">
      <c r="D484" s="141"/>
      <c r="F484" s="217"/>
    </row>
    <row r="485">
      <c r="D485" s="141"/>
      <c r="F485" s="217"/>
    </row>
    <row r="486">
      <c r="D486" s="141"/>
      <c r="F486" s="217"/>
    </row>
    <row r="487">
      <c r="D487" s="141"/>
      <c r="F487" s="217"/>
    </row>
    <row r="488">
      <c r="D488" s="141"/>
      <c r="F488" s="217"/>
    </row>
    <row r="489">
      <c r="D489" s="141"/>
      <c r="F489" s="217"/>
    </row>
    <row r="490">
      <c r="D490" s="141"/>
      <c r="F490" s="217"/>
    </row>
    <row r="491">
      <c r="D491" s="141"/>
      <c r="F491" s="217"/>
    </row>
    <row r="492">
      <c r="D492" s="141"/>
      <c r="F492" s="217"/>
    </row>
    <row r="493">
      <c r="D493" s="141"/>
      <c r="F493" s="217"/>
    </row>
    <row r="494">
      <c r="D494" s="141"/>
      <c r="F494" s="217"/>
    </row>
    <row r="495">
      <c r="D495" s="141"/>
      <c r="F495" s="217"/>
    </row>
    <row r="496">
      <c r="D496" s="141"/>
      <c r="F496" s="217"/>
    </row>
    <row r="497">
      <c r="D497" s="141"/>
      <c r="F497" s="217"/>
    </row>
    <row r="498">
      <c r="D498" s="141"/>
      <c r="F498" s="217"/>
    </row>
    <row r="499">
      <c r="D499" s="141"/>
      <c r="F499" s="217"/>
    </row>
    <row r="500">
      <c r="D500" s="141"/>
      <c r="F500" s="217"/>
    </row>
    <row r="501">
      <c r="D501" s="141"/>
      <c r="F501" s="217"/>
    </row>
    <row r="502">
      <c r="D502" s="141"/>
      <c r="F502" s="217"/>
    </row>
    <row r="503">
      <c r="D503" s="141"/>
      <c r="F503" s="217"/>
    </row>
    <row r="504">
      <c r="D504" s="141"/>
      <c r="F504" s="217"/>
    </row>
    <row r="505">
      <c r="D505" s="141"/>
      <c r="F505" s="217"/>
    </row>
    <row r="506">
      <c r="D506" s="141"/>
      <c r="F506" s="217"/>
    </row>
    <row r="507">
      <c r="D507" s="141"/>
      <c r="F507" s="217"/>
    </row>
    <row r="508">
      <c r="D508" s="141"/>
      <c r="F508" s="217"/>
    </row>
    <row r="509">
      <c r="D509" s="141"/>
      <c r="F509" s="217"/>
    </row>
    <row r="510">
      <c r="D510" s="141"/>
      <c r="F510" s="217"/>
    </row>
    <row r="511">
      <c r="D511" s="141"/>
      <c r="F511" s="217"/>
    </row>
    <row r="512">
      <c r="D512" s="141"/>
      <c r="F512" s="217"/>
    </row>
    <row r="513">
      <c r="D513" s="141"/>
      <c r="F513" s="217"/>
    </row>
    <row r="514">
      <c r="D514" s="141"/>
      <c r="F514" s="217"/>
    </row>
    <row r="515">
      <c r="D515" s="141"/>
      <c r="F515" s="217"/>
    </row>
    <row r="516">
      <c r="D516" s="141"/>
      <c r="F516" s="217"/>
    </row>
    <row r="517">
      <c r="D517" s="141"/>
      <c r="F517" s="217"/>
    </row>
    <row r="518">
      <c r="D518" s="141"/>
      <c r="F518" s="217"/>
    </row>
    <row r="519">
      <c r="D519" s="141"/>
      <c r="F519" s="217"/>
    </row>
    <row r="520">
      <c r="D520" s="141"/>
      <c r="F520" s="217"/>
    </row>
    <row r="521">
      <c r="D521" s="141"/>
      <c r="F521" s="217"/>
    </row>
    <row r="522">
      <c r="D522" s="141"/>
      <c r="F522" s="217"/>
    </row>
    <row r="523">
      <c r="D523" s="141"/>
      <c r="F523" s="217"/>
    </row>
    <row r="524">
      <c r="D524" s="141"/>
      <c r="F524" s="217"/>
    </row>
    <row r="525">
      <c r="D525" s="141"/>
      <c r="F525" s="217"/>
    </row>
    <row r="526">
      <c r="D526" s="141"/>
      <c r="F526" s="217"/>
    </row>
    <row r="527">
      <c r="D527" s="141"/>
      <c r="F527" s="217"/>
    </row>
    <row r="528">
      <c r="D528" s="141"/>
      <c r="F528" s="217"/>
    </row>
    <row r="529">
      <c r="D529" s="141"/>
      <c r="F529" s="217"/>
    </row>
    <row r="530">
      <c r="D530" s="141"/>
      <c r="F530" s="217"/>
    </row>
    <row r="531">
      <c r="D531" s="141"/>
      <c r="F531" s="217"/>
    </row>
    <row r="532">
      <c r="D532" s="141"/>
      <c r="F532" s="217"/>
    </row>
    <row r="533">
      <c r="D533" s="141"/>
      <c r="F533" s="217"/>
    </row>
    <row r="534">
      <c r="D534" s="141"/>
      <c r="F534" s="217"/>
    </row>
    <row r="535">
      <c r="D535" s="141"/>
      <c r="F535" s="217"/>
    </row>
    <row r="536">
      <c r="D536" s="141"/>
      <c r="F536" s="217"/>
    </row>
    <row r="537">
      <c r="D537" s="141"/>
      <c r="F537" s="217"/>
    </row>
    <row r="538">
      <c r="D538" s="141"/>
      <c r="F538" s="217"/>
    </row>
    <row r="539">
      <c r="D539" s="141"/>
      <c r="F539" s="217"/>
    </row>
    <row r="540">
      <c r="D540" s="141"/>
      <c r="F540" s="217"/>
    </row>
    <row r="541">
      <c r="D541" s="141"/>
      <c r="F541" s="217"/>
    </row>
    <row r="542">
      <c r="D542" s="141"/>
      <c r="F542" s="217"/>
    </row>
    <row r="543">
      <c r="D543" s="141"/>
      <c r="F543" s="217"/>
    </row>
    <row r="544">
      <c r="D544" s="141"/>
      <c r="F544" s="217"/>
    </row>
    <row r="545">
      <c r="D545" s="141"/>
      <c r="F545" s="217"/>
    </row>
    <row r="546">
      <c r="D546" s="141"/>
      <c r="F546" s="217"/>
    </row>
    <row r="547">
      <c r="D547" s="141"/>
      <c r="F547" s="217"/>
    </row>
    <row r="548">
      <c r="D548" s="141"/>
      <c r="F548" s="217"/>
    </row>
    <row r="549">
      <c r="D549" s="141"/>
      <c r="F549" s="217"/>
    </row>
    <row r="550">
      <c r="D550" s="141"/>
      <c r="F550" s="217"/>
    </row>
    <row r="551">
      <c r="D551" s="141"/>
      <c r="F551" s="217"/>
    </row>
    <row r="552">
      <c r="D552" s="141"/>
      <c r="F552" s="217"/>
    </row>
    <row r="553">
      <c r="D553" s="141"/>
      <c r="F553" s="217"/>
    </row>
    <row r="554">
      <c r="D554" s="141"/>
      <c r="F554" s="217"/>
    </row>
    <row r="555">
      <c r="D555" s="141"/>
      <c r="F555" s="217"/>
    </row>
    <row r="556">
      <c r="D556" s="141"/>
      <c r="F556" s="217"/>
    </row>
    <row r="557">
      <c r="D557" s="141"/>
      <c r="F557" s="217"/>
    </row>
    <row r="558">
      <c r="D558" s="141"/>
      <c r="F558" s="217"/>
    </row>
    <row r="559">
      <c r="D559" s="141"/>
      <c r="F559" s="217"/>
    </row>
    <row r="560">
      <c r="D560" s="141"/>
      <c r="F560" s="217"/>
    </row>
    <row r="561">
      <c r="D561" s="141"/>
      <c r="F561" s="217"/>
    </row>
    <row r="562">
      <c r="D562" s="141"/>
      <c r="F562" s="217"/>
    </row>
    <row r="563">
      <c r="D563" s="141"/>
      <c r="F563" s="217"/>
    </row>
    <row r="564">
      <c r="D564" s="141"/>
      <c r="F564" s="217"/>
    </row>
    <row r="565">
      <c r="D565" s="141"/>
      <c r="F565" s="217"/>
    </row>
    <row r="566">
      <c r="D566" s="141"/>
      <c r="F566" s="217"/>
    </row>
    <row r="567">
      <c r="D567" s="141"/>
      <c r="F567" s="217"/>
    </row>
    <row r="568">
      <c r="D568" s="141"/>
      <c r="F568" s="217"/>
    </row>
    <row r="569">
      <c r="D569" s="141"/>
      <c r="F569" s="217"/>
    </row>
    <row r="570">
      <c r="D570" s="141"/>
      <c r="F570" s="217"/>
    </row>
    <row r="571">
      <c r="D571" s="141"/>
      <c r="F571" s="217"/>
    </row>
    <row r="572">
      <c r="D572" s="141"/>
      <c r="F572" s="217"/>
    </row>
    <row r="573">
      <c r="D573" s="141"/>
      <c r="F573" s="217"/>
    </row>
    <row r="574">
      <c r="D574" s="141"/>
      <c r="F574" s="217"/>
    </row>
    <row r="575">
      <c r="D575" s="141"/>
      <c r="F575" s="217"/>
    </row>
    <row r="576">
      <c r="D576" s="141"/>
      <c r="F576" s="217"/>
    </row>
    <row r="577">
      <c r="D577" s="141"/>
      <c r="F577" s="217"/>
    </row>
    <row r="578">
      <c r="D578" s="141"/>
      <c r="F578" s="217"/>
    </row>
    <row r="579">
      <c r="D579" s="141"/>
      <c r="F579" s="217"/>
    </row>
    <row r="580">
      <c r="D580" s="141"/>
      <c r="F580" s="217"/>
    </row>
    <row r="581">
      <c r="D581" s="141"/>
      <c r="F581" s="217"/>
    </row>
    <row r="582">
      <c r="D582" s="141"/>
      <c r="F582" s="217"/>
    </row>
    <row r="583">
      <c r="D583" s="141"/>
      <c r="F583" s="217"/>
    </row>
    <row r="584">
      <c r="D584" s="141"/>
      <c r="F584" s="217"/>
    </row>
    <row r="585">
      <c r="D585" s="141"/>
      <c r="F585" s="217"/>
    </row>
    <row r="586">
      <c r="D586" s="141"/>
      <c r="F586" s="217"/>
    </row>
    <row r="587">
      <c r="D587" s="141"/>
      <c r="F587" s="217"/>
    </row>
    <row r="588">
      <c r="D588" s="141"/>
      <c r="F588" s="217"/>
    </row>
    <row r="589">
      <c r="D589" s="141"/>
      <c r="F589" s="217"/>
    </row>
    <row r="590">
      <c r="D590" s="141"/>
      <c r="F590" s="217"/>
    </row>
    <row r="591">
      <c r="D591" s="141"/>
      <c r="F591" s="217"/>
    </row>
    <row r="592">
      <c r="D592" s="141"/>
      <c r="F592" s="217"/>
    </row>
    <row r="593">
      <c r="D593" s="141"/>
      <c r="F593" s="217"/>
    </row>
    <row r="594">
      <c r="D594" s="141"/>
      <c r="F594" s="217"/>
    </row>
    <row r="595">
      <c r="D595" s="141"/>
      <c r="F595" s="217"/>
    </row>
    <row r="596">
      <c r="D596" s="141"/>
      <c r="F596" s="217"/>
    </row>
    <row r="597">
      <c r="D597" s="141"/>
      <c r="F597" s="217"/>
    </row>
    <row r="598">
      <c r="D598" s="141"/>
      <c r="F598" s="217"/>
    </row>
    <row r="599">
      <c r="D599" s="141"/>
      <c r="F599" s="217"/>
    </row>
    <row r="600">
      <c r="D600" s="141"/>
      <c r="F600" s="217"/>
    </row>
    <row r="601">
      <c r="D601" s="141"/>
      <c r="F601" s="217"/>
    </row>
    <row r="602">
      <c r="D602" s="141"/>
      <c r="F602" s="217"/>
    </row>
    <row r="603">
      <c r="D603" s="141"/>
      <c r="F603" s="217"/>
    </row>
    <row r="604">
      <c r="D604" s="141"/>
      <c r="F604" s="217"/>
    </row>
    <row r="605">
      <c r="D605" s="141"/>
      <c r="F605" s="217"/>
    </row>
    <row r="606">
      <c r="D606" s="141"/>
      <c r="F606" s="217"/>
    </row>
    <row r="607">
      <c r="D607" s="141"/>
      <c r="F607" s="217"/>
    </row>
    <row r="608">
      <c r="D608" s="141"/>
      <c r="F608" s="217"/>
    </row>
    <row r="609">
      <c r="D609" s="141"/>
      <c r="F609" s="217"/>
    </row>
    <row r="610">
      <c r="D610" s="141"/>
      <c r="F610" s="217"/>
    </row>
    <row r="611">
      <c r="D611" s="141"/>
      <c r="F611" s="217"/>
    </row>
    <row r="612">
      <c r="D612" s="141"/>
      <c r="F612" s="217"/>
    </row>
    <row r="613">
      <c r="D613" s="141"/>
      <c r="F613" s="217"/>
    </row>
    <row r="614">
      <c r="D614" s="141"/>
      <c r="F614" s="217"/>
    </row>
    <row r="615">
      <c r="D615" s="141"/>
      <c r="F615" s="217"/>
    </row>
    <row r="616">
      <c r="D616" s="141"/>
      <c r="F616" s="217"/>
    </row>
    <row r="617">
      <c r="D617" s="141"/>
      <c r="F617" s="217"/>
    </row>
    <row r="618">
      <c r="D618" s="141"/>
      <c r="F618" s="217"/>
    </row>
    <row r="619">
      <c r="D619" s="141"/>
      <c r="F619" s="217"/>
    </row>
    <row r="620">
      <c r="D620" s="141"/>
      <c r="F620" s="217"/>
    </row>
    <row r="621">
      <c r="D621" s="141"/>
      <c r="F621" s="217"/>
    </row>
    <row r="622">
      <c r="D622" s="141"/>
      <c r="F622" s="217"/>
    </row>
    <row r="623">
      <c r="D623" s="141"/>
      <c r="F623" s="217"/>
    </row>
    <row r="624">
      <c r="D624" s="141"/>
      <c r="F624" s="217"/>
    </row>
    <row r="625">
      <c r="D625" s="141"/>
      <c r="F625" s="217"/>
    </row>
    <row r="626">
      <c r="D626" s="141"/>
      <c r="F626" s="217"/>
    </row>
    <row r="627">
      <c r="D627" s="141"/>
      <c r="F627" s="217"/>
    </row>
    <row r="628">
      <c r="D628" s="141"/>
      <c r="F628" s="217"/>
    </row>
    <row r="629">
      <c r="D629" s="141"/>
      <c r="F629" s="217"/>
    </row>
    <row r="630">
      <c r="D630" s="141"/>
      <c r="F630" s="217"/>
    </row>
    <row r="631">
      <c r="D631" s="141"/>
      <c r="F631" s="217"/>
    </row>
    <row r="632">
      <c r="D632" s="141"/>
      <c r="F632" s="217"/>
    </row>
    <row r="633">
      <c r="D633" s="141"/>
      <c r="F633" s="217"/>
    </row>
    <row r="634">
      <c r="D634" s="141"/>
      <c r="F634" s="217"/>
    </row>
    <row r="635">
      <c r="D635" s="141"/>
      <c r="F635" s="217"/>
    </row>
    <row r="636">
      <c r="D636" s="141"/>
      <c r="F636" s="217"/>
    </row>
    <row r="637">
      <c r="D637" s="141"/>
      <c r="F637" s="217"/>
    </row>
    <row r="638">
      <c r="D638" s="141"/>
      <c r="F638" s="217"/>
    </row>
    <row r="639">
      <c r="D639" s="141"/>
      <c r="F639" s="217"/>
    </row>
    <row r="640">
      <c r="D640" s="141"/>
      <c r="F640" s="217"/>
    </row>
    <row r="641">
      <c r="D641" s="141"/>
      <c r="F641" s="217"/>
    </row>
    <row r="642">
      <c r="D642" s="141"/>
      <c r="F642" s="217"/>
    </row>
    <row r="643">
      <c r="D643" s="141"/>
      <c r="F643" s="217"/>
    </row>
    <row r="644">
      <c r="D644" s="141"/>
      <c r="F644" s="217"/>
    </row>
    <row r="645">
      <c r="D645" s="141"/>
      <c r="F645" s="217"/>
    </row>
    <row r="646">
      <c r="D646" s="141"/>
      <c r="F646" s="217"/>
    </row>
    <row r="647">
      <c r="D647" s="141"/>
      <c r="F647" s="217"/>
    </row>
    <row r="648">
      <c r="D648" s="141"/>
      <c r="F648" s="217"/>
    </row>
    <row r="649">
      <c r="D649" s="141"/>
      <c r="F649" s="217"/>
    </row>
    <row r="650">
      <c r="D650" s="141"/>
      <c r="F650" s="217"/>
    </row>
    <row r="651">
      <c r="D651" s="141"/>
      <c r="F651" s="217"/>
    </row>
    <row r="652">
      <c r="D652" s="141"/>
      <c r="F652" s="217"/>
    </row>
    <row r="653">
      <c r="D653" s="141"/>
      <c r="F653" s="217"/>
    </row>
    <row r="654">
      <c r="D654" s="141"/>
      <c r="F654" s="217"/>
    </row>
    <row r="655">
      <c r="D655" s="141"/>
      <c r="F655" s="217"/>
    </row>
    <row r="656">
      <c r="D656" s="141"/>
      <c r="F656" s="217"/>
    </row>
    <row r="657">
      <c r="D657" s="141"/>
      <c r="F657" s="217"/>
    </row>
    <row r="658">
      <c r="D658" s="141"/>
      <c r="F658" s="217"/>
    </row>
    <row r="659">
      <c r="D659" s="141"/>
      <c r="F659" s="217"/>
    </row>
    <row r="660">
      <c r="D660" s="141"/>
      <c r="F660" s="217"/>
    </row>
    <row r="661">
      <c r="D661" s="141"/>
      <c r="F661" s="217"/>
    </row>
    <row r="662">
      <c r="D662" s="141"/>
      <c r="F662" s="217"/>
    </row>
    <row r="663">
      <c r="D663" s="141"/>
      <c r="F663" s="217"/>
    </row>
    <row r="664">
      <c r="D664" s="141"/>
      <c r="F664" s="217"/>
    </row>
    <row r="665">
      <c r="D665" s="141"/>
      <c r="F665" s="217"/>
    </row>
    <row r="666">
      <c r="D666" s="141"/>
      <c r="F666" s="217"/>
    </row>
    <row r="667">
      <c r="D667" s="141"/>
      <c r="F667" s="217"/>
    </row>
    <row r="668">
      <c r="D668" s="141"/>
      <c r="F668" s="217"/>
    </row>
    <row r="669">
      <c r="D669" s="141"/>
      <c r="F669" s="217"/>
    </row>
    <row r="670">
      <c r="D670" s="141"/>
      <c r="F670" s="217"/>
    </row>
    <row r="671">
      <c r="D671" s="141"/>
      <c r="F671" s="217"/>
    </row>
    <row r="672">
      <c r="D672" s="141"/>
      <c r="F672" s="217"/>
    </row>
    <row r="673">
      <c r="D673" s="141"/>
      <c r="F673" s="217"/>
    </row>
    <row r="674">
      <c r="D674" s="141"/>
      <c r="F674" s="217"/>
    </row>
    <row r="675">
      <c r="D675" s="141"/>
      <c r="F675" s="217"/>
    </row>
    <row r="676">
      <c r="D676" s="141"/>
      <c r="F676" s="217"/>
    </row>
    <row r="677">
      <c r="D677" s="141"/>
      <c r="F677" s="217"/>
    </row>
    <row r="678">
      <c r="D678" s="141"/>
      <c r="F678" s="217"/>
    </row>
    <row r="679">
      <c r="D679" s="141"/>
      <c r="F679" s="217"/>
    </row>
    <row r="680">
      <c r="D680" s="141"/>
      <c r="F680" s="217"/>
    </row>
    <row r="681">
      <c r="D681" s="141"/>
      <c r="F681" s="217"/>
    </row>
    <row r="682">
      <c r="D682" s="141"/>
      <c r="F682" s="217"/>
    </row>
    <row r="683">
      <c r="D683" s="141"/>
      <c r="F683" s="217"/>
    </row>
    <row r="684">
      <c r="D684" s="141"/>
      <c r="F684" s="217"/>
    </row>
    <row r="685">
      <c r="D685" s="141"/>
      <c r="F685" s="217"/>
    </row>
    <row r="686">
      <c r="D686" s="141"/>
      <c r="F686" s="217"/>
    </row>
    <row r="687">
      <c r="D687" s="141"/>
      <c r="F687" s="217"/>
    </row>
    <row r="688">
      <c r="D688" s="141"/>
      <c r="F688" s="217"/>
    </row>
    <row r="689">
      <c r="D689" s="141"/>
      <c r="F689" s="217"/>
    </row>
    <row r="690">
      <c r="D690" s="141"/>
      <c r="F690" s="217"/>
    </row>
    <row r="691">
      <c r="D691" s="141"/>
      <c r="F691" s="217"/>
    </row>
    <row r="692">
      <c r="D692" s="141"/>
      <c r="F692" s="217"/>
    </row>
    <row r="693">
      <c r="D693" s="141"/>
      <c r="F693" s="217"/>
    </row>
    <row r="694">
      <c r="D694" s="141"/>
      <c r="F694" s="217"/>
    </row>
    <row r="695">
      <c r="D695" s="141"/>
      <c r="F695" s="217"/>
    </row>
    <row r="696">
      <c r="D696" s="141"/>
      <c r="F696" s="217"/>
    </row>
    <row r="697">
      <c r="D697" s="141"/>
      <c r="F697" s="217"/>
    </row>
    <row r="698">
      <c r="D698" s="141"/>
      <c r="F698" s="217"/>
    </row>
    <row r="699">
      <c r="D699" s="141"/>
      <c r="F699" s="217"/>
    </row>
    <row r="700">
      <c r="D700" s="141"/>
      <c r="F700" s="217"/>
    </row>
    <row r="701">
      <c r="D701" s="141"/>
      <c r="F701" s="217"/>
    </row>
    <row r="702">
      <c r="D702" s="141"/>
      <c r="F702" s="217"/>
    </row>
    <row r="703">
      <c r="D703" s="141"/>
      <c r="F703" s="217"/>
    </row>
    <row r="704">
      <c r="D704" s="141"/>
      <c r="F704" s="217"/>
    </row>
    <row r="705">
      <c r="D705" s="141"/>
      <c r="F705" s="217"/>
    </row>
    <row r="706">
      <c r="D706" s="141"/>
      <c r="F706" s="217"/>
    </row>
    <row r="707">
      <c r="D707" s="141"/>
      <c r="F707" s="217"/>
    </row>
    <row r="708">
      <c r="D708" s="141"/>
      <c r="F708" s="217"/>
    </row>
    <row r="709">
      <c r="D709" s="141"/>
      <c r="F709" s="217"/>
    </row>
    <row r="710">
      <c r="D710" s="141"/>
      <c r="F710" s="217"/>
    </row>
    <row r="711">
      <c r="D711" s="141"/>
      <c r="F711" s="217"/>
    </row>
    <row r="712">
      <c r="D712" s="141"/>
      <c r="F712" s="217"/>
    </row>
    <row r="713">
      <c r="D713" s="141"/>
      <c r="F713" s="217"/>
    </row>
    <row r="714">
      <c r="D714" s="141"/>
      <c r="F714" s="217"/>
    </row>
    <row r="715">
      <c r="D715" s="141"/>
      <c r="F715" s="217"/>
    </row>
    <row r="716">
      <c r="D716" s="141"/>
      <c r="F716" s="217"/>
    </row>
    <row r="717">
      <c r="D717" s="141"/>
      <c r="F717" s="217"/>
    </row>
    <row r="718">
      <c r="D718" s="141"/>
      <c r="F718" s="217"/>
    </row>
    <row r="719">
      <c r="D719" s="141"/>
      <c r="F719" s="217"/>
    </row>
    <row r="720">
      <c r="D720" s="141"/>
      <c r="F720" s="217"/>
    </row>
    <row r="721">
      <c r="D721" s="141"/>
      <c r="F721" s="217"/>
    </row>
    <row r="722">
      <c r="D722" s="141"/>
      <c r="F722" s="217"/>
    </row>
    <row r="723">
      <c r="D723" s="141"/>
      <c r="F723" s="217"/>
    </row>
    <row r="724">
      <c r="D724" s="141"/>
      <c r="F724" s="217"/>
    </row>
    <row r="725">
      <c r="D725" s="141"/>
      <c r="F725" s="217"/>
    </row>
    <row r="726">
      <c r="D726" s="141"/>
      <c r="F726" s="217"/>
    </row>
    <row r="727">
      <c r="D727" s="141"/>
      <c r="F727" s="217"/>
    </row>
    <row r="728">
      <c r="D728" s="141"/>
      <c r="F728" s="217"/>
    </row>
    <row r="729">
      <c r="D729" s="141"/>
      <c r="F729" s="217"/>
    </row>
    <row r="730">
      <c r="D730" s="141"/>
      <c r="F730" s="217"/>
    </row>
    <row r="731">
      <c r="D731" s="141"/>
      <c r="F731" s="217"/>
    </row>
    <row r="732">
      <c r="D732" s="141"/>
      <c r="F732" s="217"/>
    </row>
    <row r="733">
      <c r="D733" s="141"/>
      <c r="F733" s="217"/>
    </row>
    <row r="734">
      <c r="D734" s="141"/>
      <c r="F734" s="217"/>
    </row>
    <row r="735">
      <c r="D735" s="141"/>
      <c r="F735" s="217"/>
    </row>
    <row r="736">
      <c r="D736" s="141"/>
      <c r="F736" s="217"/>
    </row>
    <row r="737">
      <c r="D737" s="141"/>
      <c r="F737" s="217"/>
    </row>
    <row r="738">
      <c r="D738" s="141"/>
      <c r="F738" s="217"/>
    </row>
    <row r="739">
      <c r="D739" s="141"/>
      <c r="F739" s="217"/>
    </row>
    <row r="740">
      <c r="D740" s="141"/>
      <c r="F740" s="217"/>
    </row>
    <row r="741">
      <c r="D741" s="141"/>
      <c r="F741" s="217"/>
    </row>
    <row r="742">
      <c r="D742" s="141"/>
      <c r="F742" s="217"/>
    </row>
    <row r="743">
      <c r="D743" s="141"/>
      <c r="F743" s="217"/>
    </row>
    <row r="744">
      <c r="D744" s="141"/>
      <c r="F744" s="217"/>
    </row>
    <row r="745">
      <c r="D745" s="141"/>
      <c r="F745" s="217"/>
    </row>
    <row r="746">
      <c r="D746" s="141"/>
      <c r="F746" s="217"/>
    </row>
    <row r="747">
      <c r="D747" s="141"/>
      <c r="F747" s="217"/>
    </row>
    <row r="748">
      <c r="D748" s="141"/>
      <c r="F748" s="217"/>
    </row>
    <row r="749">
      <c r="D749" s="141"/>
      <c r="F749" s="217"/>
    </row>
    <row r="750">
      <c r="D750" s="141"/>
      <c r="F750" s="217"/>
    </row>
    <row r="751">
      <c r="D751" s="141"/>
      <c r="F751" s="217"/>
    </row>
    <row r="752">
      <c r="D752" s="141"/>
      <c r="F752" s="217"/>
    </row>
    <row r="753">
      <c r="D753" s="141"/>
      <c r="F753" s="217"/>
    </row>
    <row r="754">
      <c r="D754" s="141"/>
      <c r="F754" s="217"/>
    </row>
    <row r="755">
      <c r="D755" s="141"/>
      <c r="F755" s="217"/>
    </row>
    <row r="756">
      <c r="D756" s="141"/>
      <c r="F756" s="217"/>
    </row>
    <row r="757">
      <c r="D757" s="141"/>
      <c r="F757" s="217"/>
    </row>
    <row r="758">
      <c r="D758" s="141"/>
      <c r="F758" s="217"/>
    </row>
    <row r="759">
      <c r="D759" s="141"/>
      <c r="F759" s="217"/>
    </row>
    <row r="760">
      <c r="D760" s="141"/>
      <c r="F760" s="217"/>
    </row>
    <row r="761">
      <c r="D761" s="141"/>
      <c r="F761" s="217"/>
    </row>
    <row r="762">
      <c r="D762" s="141"/>
      <c r="F762" s="217"/>
    </row>
    <row r="763">
      <c r="D763" s="141"/>
      <c r="F763" s="217"/>
    </row>
    <row r="764">
      <c r="D764" s="141"/>
      <c r="F764" s="217"/>
    </row>
    <row r="765">
      <c r="D765" s="141"/>
      <c r="F765" s="217"/>
    </row>
    <row r="766">
      <c r="D766" s="141"/>
      <c r="F766" s="217"/>
    </row>
    <row r="767">
      <c r="D767" s="141"/>
      <c r="F767" s="217"/>
    </row>
    <row r="768">
      <c r="D768" s="141"/>
      <c r="F768" s="217"/>
    </row>
    <row r="769">
      <c r="D769" s="141"/>
      <c r="F769" s="217"/>
    </row>
    <row r="770">
      <c r="D770" s="141"/>
      <c r="F770" s="217"/>
    </row>
    <row r="771">
      <c r="D771" s="141"/>
      <c r="F771" s="217"/>
    </row>
    <row r="772">
      <c r="D772" s="141"/>
      <c r="F772" s="217"/>
    </row>
    <row r="773">
      <c r="D773" s="141"/>
      <c r="F773" s="217"/>
    </row>
    <row r="774">
      <c r="D774" s="141"/>
      <c r="F774" s="217"/>
    </row>
    <row r="775">
      <c r="D775" s="141"/>
      <c r="F775" s="217"/>
    </row>
    <row r="776">
      <c r="D776" s="141"/>
      <c r="F776" s="217"/>
    </row>
    <row r="777">
      <c r="D777" s="141"/>
      <c r="F777" s="217"/>
    </row>
    <row r="778">
      <c r="D778" s="141"/>
      <c r="F778" s="217"/>
    </row>
    <row r="779">
      <c r="D779" s="141"/>
      <c r="F779" s="217"/>
    </row>
    <row r="780">
      <c r="D780" s="141"/>
      <c r="F780" s="217"/>
    </row>
    <row r="781">
      <c r="D781" s="141"/>
      <c r="F781" s="217"/>
    </row>
    <row r="782">
      <c r="D782" s="141"/>
      <c r="F782" s="217"/>
    </row>
    <row r="783">
      <c r="D783" s="141"/>
      <c r="F783" s="217"/>
    </row>
    <row r="784">
      <c r="D784" s="141"/>
      <c r="F784" s="217"/>
    </row>
    <row r="785">
      <c r="D785" s="141"/>
      <c r="F785" s="217"/>
    </row>
    <row r="786">
      <c r="D786" s="141"/>
      <c r="F786" s="217"/>
    </row>
    <row r="787">
      <c r="D787" s="141"/>
      <c r="F787" s="217"/>
    </row>
    <row r="788">
      <c r="D788" s="141"/>
      <c r="F788" s="217"/>
    </row>
    <row r="789">
      <c r="D789" s="141"/>
      <c r="F789" s="217"/>
    </row>
    <row r="790">
      <c r="D790" s="141"/>
      <c r="F790" s="217"/>
    </row>
    <row r="791">
      <c r="D791" s="141"/>
      <c r="F791" s="217"/>
    </row>
    <row r="792">
      <c r="D792" s="141"/>
      <c r="F792" s="217"/>
    </row>
    <row r="793">
      <c r="D793" s="141"/>
      <c r="F793" s="217"/>
    </row>
    <row r="794">
      <c r="D794" s="141"/>
      <c r="F794" s="217"/>
    </row>
    <row r="795">
      <c r="D795" s="141"/>
      <c r="F795" s="217"/>
    </row>
    <row r="796">
      <c r="D796" s="141"/>
      <c r="F796" s="217"/>
    </row>
    <row r="797">
      <c r="D797" s="141"/>
      <c r="F797" s="217"/>
    </row>
    <row r="798">
      <c r="D798" s="141"/>
      <c r="F798" s="217"/>
    </row>
    <row r="799">
      <c r="D799" s="141"/>
      <c r="F799" s="217"/>
    </row>
    <row r="800">
      <c r="D800" s="141"/>
      <c r="F800" s="217"/>
    </row>
    <row r="801">
      <c r="D801" s="141"/>
      <c r="F801" s="217"/>
    </row>
    <row r="802">
      <c r="D802" s="141"/>
      <c r="F802" s="217"/>
    </row>
    <row r="803">
      <c r="D803" s="141"/>
      <c r="F803" s="217"/>
    </row>
    <row r="804">
      <c r="D804" s="141"/>
      <c r="F804" s="217"/>
    </row>
    <row r="805">
      <c r="D805" s="141"/>
      <c r="F805" s="217"/>
    </row>
    <row r="806">
      <c r="D806" s="141"/>
      <c r="F806" s="217"/>
    </row>
    <row r="807">
      <c r="D807" s="141"/>
      <c r="F807" s="217"/>
    </row>
    <row r="808">
      <c r="D808" s="141"/>
      <c r="F808" s="217"/>
    </row>
    <row r="809">
      <c r="D809" s="141"/>
      <c r="F809" s="217"/>
    </row>
    <row r="810">
      <c r="D810" s="141"/>
      <c r="F810" s="217"/>
    </row>
    <row r="811">
      <c r="D811" s="141"/>
      <c r="F811" s="217"/>
    </row>
    <row r="812">
      <c r="D812" s="141"/>
      <c r="F812" s="217"/>
    </row>
    <row r="813">
      <c r="D813" s="141"/>
      <c r="F813" s="217"/>
    </row>
    <row r="814">
      <c r="D814" s="141"/>
      <c r="F814" s="217"/>
    </row>
    <row r="815">
      <c r="D815" s="141"/>
      <c r="F815" s="217"/>
    </row>
    <row r="816">
      <c r="D816" s="141"/>
      <c r="F816" s="217"/>
    </row>
    <row r="817">
      <c r="D817" s="141"/>
      <c r="F817" s="217"/>
    </row>
    <row r="818">
      <c r="D818" s="141"/>
      <c r="F818" s="217"/>
    </row>
    <row r="819">
      <c r="D819" s="141"/>
      <c r="F819" s="217"/>
    </row>
    <row r="820">
      <c r="D820" s="141"/>
      <c r="F820" s="217"/>
    </row>
    <row r="821">
      <c r="D821" s="141"/>
      <c r="F821" s="217"/>
    </row>
    <row r="822">
      <c r="D822" s="141"/>
      <c r="F822" s="217"/>
    </row>
    <row r="823">
      <c r="D823" s="141"/>
      <c r="F823" s="217"/>
    </row>
    <row r="824">
      <c r="D824" s="141"/>
      <c r="F824" s="217"/>
    </row>
    <row r="825">
      <c r="D825" s="141"/>
      <c r="F825" s="217"/>
    </row>
    <row r="826">
      <c r="D826" s="141"/>
      <c r="F826" s="217"/>
    </row>
    <row r="827">
      <c r="D827" s="141"/>
      <c r="F827" s="217"/>
    </row>
    <row r="828">
      <c r="D828" s="141"/>
      <c r="F828" s="217"/>
    </row>
    <row r="829">
      <c r="D829" s="141"/>
      <c r="F829" s="217"/>
    </row>
    <row r="830">
      <c r="D830" s="141"/>
      <c r="F830" s="217"/>
    </row>
    <row r="831">
      <c r="D831" s="141"/>
      <c r="F831" s="217"/>
    </row>
    <row r="832">
      <c r="D832" s="141"/>
      <c r="F832" s="217"/>
    </row>
    <row r="833">
      <c r="D833" s="141"/>
      <c r="F833" s="217"/>
    </row>
    <row r="834">
      <c r="D834" s="141"/>
      <c r="F834" s="217"/>
    </row>
    <row r="835">
      <c r="D835" s="141"/>
      <c r="F835" s="217"/>
    </row>
    <row r="836">
      <c r="D836" s="141"/>
      <c r="F836" s="217"/>
    </row>
    <row r="837">
      <c r="D837" s="141"/>
      <c r="F837" s="217"/>
    </row>
    <row r="838">
      <c r="D838" s="141"/>
      <c r="F838" s="217"/>
    </row>
    <row r="839">
      <c r="D839" s="141"/>
      <c r="F839" s="217"/>
    </row>
    <row r="840">
      <c r="D840" s="141"/>
      <c r="F840" s="217"/>
    </row>
    <row r="841">
      <c r="D841" s="141"/>
      <c r="F841" s="217"/>
    </row>
    <row r="842">
      <c r="D842" s="141"/>
      <c r="F842" s="217"/>
    </row>
    <row r="843">
      <c r="D843" s="141"/>
      <c r="F843" s="217"/>
    </row>
    <row r="844">
      <c r="D844" s="141"/>
      <c r="F844" s="217"/>
    </row>
    <row r="845">
      <c r="D845" s="141"/>
      <c r="F845" s="217"/>
    </row>
    <row r="846">
      <c r="D846" s="141"/>
      <c r="F846" s="217"/>
    </row>
    <row r="847">
      <c r="D847" s="141"/>
      <c r="F847" s="217"/>
    </row>
    <row r="848">
      <c r="D848" s="141"/>
      <c r="F848" s="217"/>
    </row>
    <row r="849">
      <c r="D849" s="141"/>
      <c r="F849" s="217"/>
    </row>
    <row r="850">
      <c r="D850" s="141"/>
      <c r="F850" s="217"/>
    </row>
    <row r="851">
      <c r="D851" s="141"/>
      <c r="F851" s="217"/>
    </row>
    <row r="852">
      <c r="D852" s="141"/>
      <c r="F852" s="217"/>
    </row>
    <row r="853">
      <c r="D853" s="141"/>
      <c r="F853" s="217"/>
    </row>
    <row r="854">
      <c r="D854" s="141"/>
      <c r="F854" s="217"/>
    </row>
    <row r="855">
      <c r="D855" s="141"/>
      <c r="F855" s="217"/>
    </row>
    <row r="856">
      <c r="D856" s="141"/>
      <c r="F856" s="217"/>
    </row>
    <row r="857">
      <c r="D857" s="141"/>
      <c r="F857" s="217"/>
    </row>
    <row r="858">
      <c r="D858" s="141"/>
      <c r="F858" s="217"/>
    </row>
    <row r="859">
      <c r="D859" s="141"/>
      <c r="F859" s="217"/>
    </row>
    <row r="860">
      <c r="D860" s="141"/>
      <c r="F860" s="217"/>
    </row>
    <row r="861">
      <c r="D861" s="141"/>
      <c r="F861" s="217"/>
    </row>
    <row r="862">
      <c r="D862" s="141"/>
      <c r="F862" s="217"/>
    </row>
    <row r="863">
      <c r="D863" s="141"/>
      <c r="F863" s="217"/>
    </row>
    <row r="864">
      <c r="D864" s="141"/>
      <c r="F864" s="217"/>
    </row>
    <row r="865">
      <c r="D865" s="141"/>
      <c r="F865" s="217"/>
    </row>
    <row r="866">
      <c r="D866" s="141"/>
      <c r="F866" s="217"/>
    </row>
    <row r="867">
      <c r="D867" s="141"/>
      <c r="F867" s="217"/>
    </row>
    <row r="868">
      <c r="D868" s="141"/>
      <c r="F868" s="217"/>
    </row>
    <row r="869">
      <c r="D869" s="141"/>
      <c r="F869" s="217"/>
    </row>
    <row r="870">
      <c r="D870" s="141"/>
      <c r="F870" s="217"/>
    </row>
    <row r="871">
      <c r="D871" s="141"/>
      <c r="F871" s="217"/>
    </row>
    <row r="872">
      <c r="D872" s="141"/>
      <c r="F872" s="217"/>
    </row>
    <row r="873">
      <c r="D873" s="141"/>
      <c r="F873" s="217"/>
    </row>
    <row r="874">
      <c r="D874" s="141"/>
      <c r="F874" s="217"/>
    </row>
    <row r="875">
      <c r="D875" s="141"/>
      <c r="F875" s="217"/>
    </row>
    <row r="876">
      <c r="D876" s="141"/>
      <c r="F876" s="217"/>
    </row>
    <row r="877">
      <c r="D877" s="141"/>
      <c r="F877" s="217"/>
    </row>
    <row r="878">
      <c r="D878" s="141"/>
      <c r="F878" s="217"/>
    </row>
    <row r="879">
      <c r="D879" s="141"/>
      <c r="F879" s="217"/>
    </row>
    <row r="880">
      <c r="D880" s="141"/>
      <c r="F880" s="217"/>
    </row>
    <row r="881">
      <c r="D881" s="141"/>
      <c r="F881" s="217"/>
    </row>
    <row r="882">
      <c r="D882" s="141"/>
      <c r="F882" s="217"/>
    </row>
    <row r="883">
      <c r="D883" s="141"/>
      <c r="F883" s="217"/>
    </row>
    <row r="884">
      <c r="D884" s="141"/>
      <c r="F884" s="217"/>
    </row>
    <row r="885">
      <c r="D885" s="141"/>
      <c r="F885" s="217"/>
    </row>
    <row r="886">
      <c r="D886" s="141"/>
      <c r="F886" s="217"/>
    </row>
    <row r="887">
      <c r="D887" s="141"/>
      <c r="F887" s="217"/>
    </row>
    <row r="888">
      <c r="D888" s="141"/>
      <c r="F888" s="217"/>
    </row>
    <row r="889">
      <c r="D889" s="141"/>
      <c r="F889" s="217"/>
    </row>
    <row r="890">
      <c r="D890" s="141"/>
      <c r="F890" s="217"/>
    </row>
    <row r="891">
      <c r="D891" s="141"/>
      <c r="F891" s="217"/>
    </row>
    <row r="892">
      <c r="D892" s="141"/>
      <c r="F892" s="217"/>
    </row>
    <row r="893">
      <c r="D893" s="141"/>
      <c r="F893" s="217"/>
    </row>
    <row r="894">
      <c r="D894" s="141"/>
      <c r="F894" s="217"/>
    </row>
    <row r="895">
      <c r="D895" s="141"/>
      <c r="F895" s="217"/>
    </row>
    <row r="896">
      <c r="D896" s="141"/>
      <c r="F896" s="217"/>
    </row>
    <row r="897">
      <c r="D897" s="141"/>
      <c r="F897" s="217"/>
    </row>
    <row r="898">
      <c r="D898" s="141"/>
      <c r="F898" s="217"/>
    </row>
    <row r="899">
      <c r="D899" s="141"/>
      <c r="F899" s="217"/>
    </row>
    <row r="900">
      <c r="D900" s="141"/>
      <c r="F900" s="217"/>
    </row>
    <row r="901">
      <c r="D901" s="141"/>
      <c r="F901" s="217"/>
    </row>
    <row r="902">
      <c r="D902" s="141"/>
      <c r="F902" s="217"/>
    </row>
    <row r="903">
      <c r="D903" s="141"/>
      <c r="F903" s="217"/>
    </row>
    <row r="904">
      <c r="D904" s="141"/>
      <c r="F904" s="217"/>
    </row>
    <row r="905">
      <c r="D905" s="141"/>
      <c r="F905" s="217"/>
    </row>
    <row r="906">
      <c r="D906" s="141"/>
      <c r="F906" s="217"/>
    </row>
    <row r="907">
      <c r="D907" s="141"/>
      <c r="F907" s="217"/>
    </row>
    <row r="908">
      <c r="D908" s="141"/>
      <c r="F908" s="217"/>
    </row>
    <row r="909">
      <c r="D909" s="141"/>
      <c r="F909" s="217"/>
    </row>
    <row r="910">
      <c r="D910" s="141"/>
      <c r="F910" s="217"/>
    </row>
    <row r="911">
      <c r="D911" s="141"/>
      <c r="F911" s="217"/>
    </row>
    <row r="912">
      <c r="D912" s="141"/>
      <c r="F912" s="217"/>
    </row>
    <row r="913">
      <c r="D913" s="141"/>
      <c r="F913" s="217"/>
    </row>
    <row r="914">
      <c r="D914" s="141"/>
      <c r="F914" s="217"/>
    </row>
    <row r="915">
      <c r="D915" s="141"/>
      <c r="F915" s="217"/>
    </row>
    <row r="916">
      <c r="D916" s="141"/>
      <c r="F916" s="217"/>
    </row>
    <row r="917">
      <c r="D917" s="141"/>
      <c r="F917" s="217"/>
    </row>
    <row r="918">
      <c r="D918" s="141"/>
      <c r="F918" s="217"/>
    </row>
    <row r="919">
      <c r="D919" s="141"/>
      <c r="F919" s="217"/>
    </row>
    <row r="920">
      <c r="D920" s="141"/>
      <c r="F920" s="217"/>
    </row>
    <row r="921">
      <c r="D921" s="141"/>
      <c r="F921" s="217"/>
    </row>
    <row r="922">
      <c r="D922" s="141"/>
      <c r="F922" s="217"/>
    </row>
    <row r="923">
      <c r="D923" s="141"/>
      <c r="F923" s="217"/>
    </row>
    <row r="924">
      <c r="D924" s="141"/>
      <c r="F924" s="217"/>
    </row>
    <row r="925">
      <c r="D925" s="141"/>
      <c r="F925" s="217"/>
    </row>
    <row r="926">
      <c r="D926" s="141"/>
      <c r="F926" s="217"/>
    </row>
    <row r="927">
      <c r="D927" s="141"/>
      <c r="F927" s="217"/>
    </row>
    <row r="928">
      <c r="D928" s="141"/>
      <c r="F928" s="217"/>
    </row>
    <row r="929">
      <c r="D929" s="141"/>
      <c r="F929" s="217"/>
    </row>
    <row r="930">
      <c r="D930" s="141"/>
      <c r="F930" s="217"/>
    </row>
    <row r="931">
      <c r="D931" s="141"/>
      <c r="F931" s="217"/>
    </row>
    <row r="932">
      <c r="D932" s="141"/>
      <c r="F932" s="217"/>
    </row>
    <row r="933">
      <c r="D933" s="141"/>
      <c r="F933" s="217"/>
    </row>
    <row r="934">
      <c r="D934" s="141"/>
      <c r="F934" s="217"/>
    </row>
    <row r="935">
      <c r="D935" s="141"/>
      <c r="F935" s="217"/>
    </row>
    <row r="936">
      <c r="D936" s="141"/>
      <c r="F936" s="217"/>
    </row>
    <row r="937">
      <c r="D937" s="141"/>
      <c r="F937" s="217"/>
    </row>
    <row r="938">
      <c r="D938" s="141"/>
      <c r="F938" s="217"/>
    </row>
    <row r="939">
      <c r="D939" s="141"/>
      <c r="F939" s="217"/>
    </row>
    <row r="940">
      <c r="D940" s="141"/>
      <c r="F940" s="217"/>
    </row>
    <row r="941">
      <c r="D941" s="141"/>
      <c r="F941" s="217"/>
    </row>
    <row r="942">
      <c r="D942" s="141"/>
      <c r="F942" s="217"/>
    </row>
    <row r="943">
      <c r="D943" s="141"/>
      <c r="F943" s="217"/>
    </row>
    <row r="944">
      <c r="D944" s="141"/>
      <c r="F944" s="217"/>
    </row>
    <row r="945">
      <c r="D945" s="141"/>
      <c r="F945" s="217"/>
    </row>
    <row r="946">
      <c r="D946" s="141"/>
      <c r="F946" s="217"/>
    </row>
    <row r="947">
      <c r="D947" s="141"/>
      <c r="F947" s="217"/>
    </row>
    <row r="948">
      <c r="D948" s="141"/>
      <c r="F948" s="217"/>
    </row>
    <row r="949">
      <c r="D949" s="141"/>
      <c r="F949" s="217"/>
    </row>
    <row r="950">
      <c r="D950" s="141"/>
      <c r="F950" s="217"/>
    </row>
    <row r="951">
      <c r="D951" s="141"/>
      <c r="F951" s="217"/>
    </row>
    <row r="952">
      <c r="D952" s="141"/>
      <c r="F952" s="217"/>
    </row>
    <row r="953">
      <c r="D953" s="141"/>
      <c r="F953" s="217"/>
    </row>
    <row r="954">
      <c r="D954" s="141"/>
      <c r="F954" s="217"/>
    </row>
    <row r="955">
      <c r="D955" s="141"/>
      <c r="F955" s="217"/>
    </row>
    <row r="956">
      <c r="D956" s="141"/>
      <c r="F956" s="217"/>
    </row>
    <row r="957">
      <c r="D957" s="141"/>
      <c r="F957" s="217"/>
    </row>
    <row r="958">
      <c r="D958" s="141"/>
      <c r="F958" s="217"/>
    </row>
    <row r="959">
      <c r="D959" s="141"/>
      <c r="F959" s="217"/>
    </row>
    <row r="960">
      <c r="D960" s="141"/>
      <c r="F960" s="217"/>
    </row>
    <row r="961">
      <c r="D961" s="141"/>
      <c r="F961" s="217"/>
    </row>
    <row r="962">
      <c r="D962" s="141"/>
      <c r="F962" s="217"/>
    </row>
    <row r="963">
      <c r="D963" s="141"/>
      <c r="F963" s="217"/>
    </row>
    <row r="964">
      <c r="D964" s="141"/>
      <c r="F964" s="217"/>
    </row>
    <row r="965">
      <c r="D965" s="141"/>
      <c r="F965" s="217"/>
    </row>
    <row r="966">
      <c r="D966" s="141"/>
      <c r="F966" s="217"/>
    </row>
    <row r="967">
      <c r="D967" s="141"/>
      <c r="F967" s="217"/>
    </row>
    <row r="968">
      <c r="D968" s="141"/>
      <c r="F968" s="217"/>
    </row>
    <row r="969">
      <c r="D969" s="141"/>
      <c r="F969" s="217"/>
    </row>
    <row r="970">
      <c r="D970" s="141"/>
      <c r="F970" s="217"/>
    </row>
    <row r="971">
      <c r="D971" s="141"/>
      <c r="F971" s="217"/>
    </row>
    <row r="972">
      <c r="D972" s="141"/>
      <c r="F972" s="217"/>
    </row>
    <row r="973">
      <c r="D973" s="141"/>
      <c r="F973" s="217"/>
    </row>
    <row r="974">
      <c r="D974" s="141"/>
      <c r="F974" s="217"/>
    </row>
    <row r="975">
      <c r="D975" s="141"/>
      <c r="F975" s="217"/>
    </row>
    <row r="976">
      <c r="D976" s="141"/>
      <c r="F976" s="217"/>
    </row>
    <row r="977">
      <c r="D977" s="141"/>
      <c r="F977" s="217"/>
    </row>
    <row r="978">
      <c r="D978" s="141"/>
      <c r="F978" s="217"/>
    </row>
    <row r="979">
      <c r="D979" s="141"/>
      <c r="F979" s="217"/>
    </row>
    <row r="980">
      <c r="D980" s="141"/>
      <c r="F980" s="217"/>
    </row>
    <row r="981">
      <c r="D981" s="141"/>
      <c r="F981" s="217"/>
    </row>
    <row r="982">
      <c r="D982" s="141"/>
      <c r="F982" s="217"/>
    </row>
    <row r="983">
      <c r="D983" s="141"/>
      <c r="F983" s="217"/>
    </row>
    <row r="984">
      <c r="D984" s="141"/>
      <c r="F984" s="217"/>
    </row>
    <row r="985">
      <c r="D985" s="141"/>
      <c r="F985" s="217"/>
    </row>
    <row r="986">
      <c r="D986" s="141"/>
      <c r="F986" s="217"/>
    </row>
    <row r="987">
      <c r="D987" s="141"/>
      <c r="F987" s="217"/>
    </row>
    <row r="988">
      <c r="D988" s="141"/>
      <c r="F988" s="217"/>
    </row>
    <row r="989">
      <c r="D989" s="141"/>
      <c r="F989" s="217"/>
    </row>
    <row r="990">
      <c r="D990" s="141"/>
      <c r="F990" s="217"/>
    </row>
    <row r="991">
      <c r="D991" s="141"/>
      <c r="F991" s="217"/>
    </row>
    <row r="992">
      <c r="D992" s="141"/>
      <c r="F992" s="217"/>
    </row>
    <row r="993">
      <c r="F993" s="217"/>
    </row>
    <row r="994">
      <c r="F994" s="217"/>
    </row>
    <row r="995">
      <c r="F995" s="217"/>
    </row>
    <row r="996">
      <c r="F996" s="217"/>
    </row>
    <row r="997">
      <c r="F997" s="217"/>
    </row>
    <row r="998">
      <c r="F998" s="217"/>
    </row>
    <row r="999">
      <c r="F999" s="217"/>
    </row>
    <row r="1000">
      <c r="F1000" s="217"/>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J9"/>
    <hyperlink r:id="rId18" ref="E10"/>
    <hyperlink r:id="rId19" ref="I10"/>
    <hyperlink r:id="rId20" ref="E11"/>
    <hyperlink r:id="rId21" ref="I11"/>
    <hyperlink r:id="rId22" ref="E12"/>
    <hyperlink r:id="rId23" ref="I12"/>
    <hyperlink r:id="rId24" ref="E13"/>
    <hyperlink r:id="rId25" ref="I13"/>
    <hyperlink r:id="rId26" ref="E14"/>
    <hyperlink r:id="rId27" ref="I14"/>
    <hyperlink r:id="rId28" ref="E15"/>
    <hyperlink r:id="rId29" ref="I15"/>
    <hyperlink r:id="rId30" ref="E16"/>
    <hyperlink r:id="rId31" ref="I16"/>
    <hyperlink r:id="rId32" ref="E17"/>
    <hyperlink r:id="rId33" ref="J17"/>
    <hyperlink r:id="rId34" ref="E18"/>
    <hyperlink r:id="rId35" ref="I18"/>
    <hyperlink r:id="rId36" ref="E19"/>
    <hyperlink r:id="rId37" ref="I19"/>
    <hyperlink r:id="rId38" ref="E20"/>
    <hyperlink r:id="rId39" ref="I20"/>
    <hyperlink r:id="rId40" ref="E21"/>
    <hyperlink r:id="rId41" ref="I21"/>
    <hyperlink r:id="rId42" ref="E22"/>
    <hyperlink r:id="rId43" ref="I22"/>
    <hyperlink r:id="rId44" ref="E23"/>
    <hyperlink r:id="rId45" ref="I23"/>
    <hyperlink r:id="rId46" ref="E24"/>
    <hyperlink r:id="rId47" ref="I24"/>
    <hyperlink r:id="rId48" ref="E25"/>
    <hyperlink r:id="rId49" ref="I25"/>
    <hyperlink r:id="rId50" ref="E26"/>
    <hyperlink r:id="rId51" ref="I26"/>
    <hyperlink r:id="rId52" ref="E27"/>
    <hyperlink r:id="rId53" ref="I27"/>
    <hyperlink r:id="rId54" ref="E28"/>
    <hyperlink r:id="rId55" ref="I28"/>
    <hyperlink r:id="rId56" ref="E29"/>
    <hyperlink r:id="rId57" ref="I29"/>
    <hyperlink r:id="rId58" ref="E30"/>
    <hyperlink r:id="rId59" ref="I30"/>
    <hyperlink r:id="rId60" ref="E31"/>
    <hyperlink r:id="rId61" ref="I31"/>
    <hyperlink r:id="rId62" ref="E32"/>
    <hyperlink r:id="rId63" ref="I32"/>
    <hyperlink r:id="rId64" ref="E33"/>
    <hyperlink r:id="rId65" ref="I33"/>
    <hyperlink r:id="rId66" ref="I34"/>
    <hyperlink r:id="rId67" ref="E35"/>
    <hyperlink r:id="rId68" ref="I35"/>
    <hyperlink r:id="rId69" ref="E36"/>
    <hyperlink r:id="rId70" ref="I36"/>
    <hyperlink r:id="rId71" ref="E37"/>
    <hyperlink r:id="rId72" ref="I37"/>
    <hyperlink r:id="rId73" ref="E38"/>
    <hyperlink r:id="rId74" ref="I38"/>
    <hyperlink r:id="rId75" ref="E39"/>
    <hyperlink r:id="rId76" ref="I39"/>
    <hyperlink r:id="rId77" ref="E40"/>
    <hyperlink r:id="rId78" ref="I40"/>
    <hyperlink r:id="rId79" ref="E41"/>
    <hyperlink r:id="rId80" ref="I41"/>
    <hyperlink r:id="rId81" ref="E42"/>
    <hyperlink r:id="rId82" ref="I42"/>
    <hyperlink r:id="rId83" ref="E43"/>
    <hyperlink r:id="rId84" ref="I43"/>
    <hyperlink r:id="rId85" ref="E44"/>
    <hyperlink r:id="rId86" ref="I44"/>
    <hyperlink r:id="rId87" ref="E45"/>
    <hyperlink r:id="rId88" ref="I45"/>
    <hyperlink r:id="rId89" ref="E46"/>
    <hyperlink r:id="rId90" ref="I46"/>
    <hyperlink r:id="rId91" ref="E47"/>
    <hyperlink r:id="rId92" ref="I47"/>
    <hyperlink r:id="rId93" ref="E48"/>
    <hyperlink r:id="rId94" ref="I48"/>
    <hyperlink r:id="rId95" ref="E49"/>
    <hyperlink r:id="rId96" ref="I49"/>
    <hyperlink r:id="rId97" ref="E50"/>
    <hyperlink r:id="rId98" ref="I50"/>
    <hyperlink r:id="rId99" ref="E51"/>
    <hyperlink r:id="rId100" ref="I51"/>
    <hyperlink r:id="rId101" ref="E52"/>
    <hyperlink r:id="rId102" ref="I52"/>
    <hyperlink r:id="rId103" ref="I53"/>
    <hyperlink r:id="rId104" ref="E54"/>
    <hyperlink r:id="rId105" ref="I54"/>
    <hyperlink r:id="rId106" ref="E55"/>
    <hyperlink r:id="rId107" ref="I55"/>
    <hyperlink r:id="rId108" ref="I56"/>
    <hyperlink r:id="rId109" ref="E57"/>
    <hyperlink r:id="rId110" ref="I57"/>
    <hyperlink r:id="rId111" ref="E58"/>
    <hyperlink r:id="rId112" ref="I58"/>
    <hyperlink r:id="rId113" ref="E59"/>
    <hyperlink r:id="rId114" ref="I59"/>
    <hyperlink r:id="rId115" ref="E60"/>
    <hyperlink r:id="rId116" ref="I60"/>
    <hyperlink r:id="rId117" ref="I61"/>
    <hyperlink r:id="rId118" ref="E62"/>
    <hyperlink r:id="rId119" ref="I62"/>
    <hyperlink r:id="rId120" ref="I63"/>
    <hyperlink r:id="rId121" ref="E64"/>
    <hyperlink r:id="rId122" ref="I64"/>
    <hyperlink r:id="rId123" ref="E65"/>
    <hyperlink r:id="rId124" ref="I65"/>
    <hyperlink r:id="rId125" ref="E66"/>
    <hyperlink r:id="rId126" ref="I66"/>
    <hyperlink r:id="rId127" ref="I67"/>
    <hyperlink r:id="rId128" ref="E68"/>
    <hyperlink r:id="rId129" ref="I68"/>
    <hyperlink r:id="rId130" ref="I69"/>
    <hyperlink r:id="rId131" ref="E70"/>
    <hyperlink r:id="rId132" ref="I70"/>
    <hyperlink r:id="rId133" ref="E71"/>
    <hyperlink r:id="rId134" ref="E72"/>
    <hyperlink r:id="rId135" ref="I72"/>
    <hyperlink r:id="rId136" ref="E73"/>
    <hyperlink r:id="rId137" ref="I73"/>
    <hyperlink r:id="rId138" ref="E74"/>
    <hyperlink r:id="rId139" ref="I74"/>
    <hyperlink r:id="rId140" ref="E75"/>
    <hyperlink r:id="rId141" ref="I75"/>
    <hyperlink r:id="rId142" ref="E76"/>
    <hyperlink r:id="rId143" ref="I76"/>
    <hyperlink r:id="rId144" ref="I77"/>
    <hyperlink r:id="rId145" ref="J77"/>
    <hyperlink r:id="rId146" ref="E78"/>
    <hyperlink r:id="rId147" ref="I78"/>
    <hyperlink r:id="rId148" ref="E79"/>
    <hyperlink r:id="rId149" ref="J79"/>
    <hyperlink r:id="rId150" ref="E80"/>
    <hyperlink r:id="rId151" ref="I80"/>
    <hyperlink r:id="rId152" ref="J81"/>
    <hyperlink r:id="rId153" ref="J82"/>
    <hyperlink r:id="rId154" location="PrzybylekKHDHKZ23" ref="I83"/>
    <hyperlink r:id="rId155" ref="I84"/>
    <hyperlink r:id="rId156" ref="E85"/>
    <hyperlink r:id="rId157" ref="I85"/>
    <hyperlink r:id="rId158" ref="I86"/>
    <hyperlink r:id="rId159" ref="E87"/>
    <hyperlink r:id="rId160" ref="I87"/>
    <hyperlink r:id="rId161" ref="E88"/>
    <hyperlink r:id="rId162" ref="I88"/>
    <hyperlink r:id="rId163" ref="J89"/>
    <hyperlink r:id="rId164" ref="I90"/>
    <hyperlink r:id="rId165" ref="E92"/>
    <hyperlink r:id="rId166" ref="I92"/>
    <hyperlink r:id="rId167" ref="E93"/>
    <hyperlink r:id="rId168" ref="I93"/>
    <hyperlink r:id="rId169" ref="E94"/>
    <hyperlink r:id="rId170" ref="I94"/>
    <hyperlink r:id="rId171" ref="E95"/>
    <hyperlink r:id="rId172" ref="I95"/>
    <hyperlink r:id="rId173" ref="E96"/>
    <hyperlink r:id="rId174" ref="I96"/>
    <hyperlink r:id="rId175" ref="I97"/>
    <hyperlink r:id="rId176" ref="E98"/>
    <hyperlink r:id="rId177" ref="I98"/>
    <hyperlink r:id="rId178" ref="E100"/>
    <hyperlink r:id="rId179" ref="I100"/>
    <hyperlink r:id="rId180" ref="I101"/>
    <hyperlink r:id="rId181" ref="E102"/>
    <hyperlink r:id="rId182" ref="I102"/>
    <hyperlink r:id="rId183" ref="E103"/>
    <hyperlink r:id="rId184" ref="I103"/>
  </hyperlinks>
  <drawing r:id="rId18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74.5"/>
    <col customWidth="1" min="7" max="7" width="28.38"/>
    <col customWidth="1" min="8" max="8" width="30.13"/>
    <col customWidth="1" min="9" max="9" width="35.88"/>
    <col customWidth="1" min="10" max="10" width="40.13"/>
  </cols>
  <sheetData>
    <row r="1">
      <c r="A1" s="1" t="str">
        <f>IFERROR(__xludf.DUMMYFUNCTION("importrange(""https://docs.google.com/spreadsheets/d/1bDMSNP7aYOJjOGZ0NHqkhDqbHu9rq2iGp_YaL2zqsIE/edit#gid=1109093830"",""CE-ACPAD!A1:J150"")"),"TOP")</f>
        <v>TOP</v>
      </c>
      <c r="B1" s="54" t="str">
        <f>IFERROR(__xludf.DUMMYFUNCTION("""COMPUTED_VALUE"""),"SIGLA")</f>
        <v>SIGLA</v>
      </c>
      <c r="C1" s="55" t="str">
        <f>IFERROR(__xludf.DUMMYFUNCTION("""COMPUTED_VALUE"""),"NOME")</f>
        <v>NOME</v>
      </c>
      <c r="D1" s="54" t="str">
        <f>IFERROR(__xludf.DUMMYFUNCTION("""COMPUTED_VALUE"""),"H5")</f>
        <v>H5</v>
      </c>
      <c r="E1" s="54" t="str">
        <f>IFERROR(__xludf.DUMMYFUNCTION("""COMPUTED_VALUE"""),"GOOGLE METRICS LINK")</f>
        <v>GOOGLE METRICS LINK</v>
      </c>
      <c r="F1" s="56" t="str">
        <f>IFERROR(__xludf.DUMMYFUNCTION("""COMPUTED_VALUE"""),"Nova Sigla")</f>
        <v>Nova Sigla</v>
      </c>
      <c r="G1" s="57" t="str">
        <f>IFERROR(__xludf.DUMMYFUNCTION("""COMPUTED_VALUE"""),"Novo Nome")</f>
        <v>Novo Nome</v>
      </c>
      <c r="H1" t="str">
        <f>IFERROR(__xludf.DUMMYFUNCTION("""COMPUTED_VALUE"""),"Nome Alternativo")</f>
        <v>Nome Alternativo</v>
      </c>
      <c r="I1" t="str">
        <f>IFERROR(__xludf.DUMMYFUNCTION("""COMPUTED_VALUE"""),"Link da DBLP")</f>
        <v>Link da DBLP</v>
      </c>
      <c r="J1" t="str">
        <f>IFERROR(__xludf.DUMMYFUNCTION("""COMPUTED_VALUE"""),"Link da SOL")</f>
        <v>Link da SOL</v>
      </c>
    </row>
    <row r="2">
      <c r="A2" s="58" t="str">
        <f>IFERROR(__xludf.DUMMYFUNCTION("""COMPUTED_VALUE"""),"Top 10")</f>
        <v>Top 10</v>
      </c>
      <c r="B2" s="54" t="str">
        <f>IFERROR(__xludf.DUMMYFUNCTION("""COMPUTED_VALUE"""),"ISCA")</f>
        <v>ISCA</v>
      </c>
      <c r="C2" t="str">
        <f>IFERROR(__xludf.DUMMYFUNCTION("""COMPUTED_VALUE"""),"International Symposium on Computer Architecture")</f>
        <v>International Symposium on Computer Architecture</v>
      </c>
      <c r="D2" s="54">
        <f>IFERROR(__xludf.DUMMYFUNCTION("""COMPUTED_VALUE"""),62.0)</f>
        <v>62</v>
      </c>
      <c r="E2" s="59" t="str">
        <f>IFERROR(__xludf.DUMMYFUNCTION("""COMPUTED_VALUE"""),"https://scholar.google.com.br/citations?hl=en&amp;view_op=list_hcore&amp;venue=-RiAttlQ-g0J.2024")</f>
        <v>https://scholar.google.com.br/citations?hl=en&amp;view_op=list_hcore&amp;venue=-RiAttlQ-g0J.2024</v>
      </c>
      <c r="F2" s="56"/>
      <c r="G2" s="57"/>
      <c r="I2" s="60" t="str">
        <f>IFERROR(__xludf.DUMMYFUNCTION("""COMPUTED_VALUE"""),"https://dblp.org/db/conf/isca/index.html")</f>
        <v>https://dblp.org/db/conf/isca/index.html</v>
      </c>
    </row>
    <row r="3">
      <c r="A3" s="58" t="str">
        <f>IFERROR(__xludf.DUMMYFUNCTION("""COMPUTED_VALUE"""),"Top 10")</f>
        <v>Top 10</v>
      </c>
      <c r="B3" s="54" t="str">
        <f>IFERROR(__xludf.DUMMYFUNCTION("""COMPUTED_VALUE"""),"HPCA")</f>
        <v>HPCA</v>
      </c>
      <c r="C3" s="55" t="str">
        <f>IFERROR(__xludf.DUMMYFUNCTION("""COMPUTED_VALUE"""),"IEEE International Symposium on High Performance Computer Architecture")</f>
        <v>IEEE International Symposium on High Performance Computer Architecture</v>
      </c>
      <c r="D3" s="54">
        <f>IFERROR(__xludf.DUMMYFUNCTION("""COMPUTED_VALUE"""),50.0)</f>
        <v>50</v>
      </c>
      <c r="E3" s="59" t="str">
        <f>IFERROR(__xludf.DUMMYFUNCTION("""COMPUTED_VALUE"""),"https://scholar.google.com/citations?hl=pt-BR&amp;view_op=list_hcore&amp;venue=oRj0q6yVVdsJ.2024")</f>
        <v>https://scholar.google.com/citations?hl=pt-BR&amp;view_op=list_hcore&amp;venue=oRj0q6yVVdsJ.2024</v>
      </c>
      <c r="F3" s="56"/>
      <c r="G3" s="57"/>
      <c r="I3" s="60" t="str">
        <f>IFERROR(__xludf.DUMMYFUNCTION("""COMPUTED_VALUE"""),"https://dblp.org/db/conf/hpca/index.html")</f>
        <v>https://dblp.org/db/conf/hpca/index.html</v>
      </c>
    </row>
    <row r="4">
      <c r="A4" s="58" t="str">
        <f>IFERROR(__xludf.DUMMYFUNCTION("""COMPUTED_VALUE"""),"Top 10")</f>
        <v>Top 10</v>
      </c>
      <c r="B4" s="54" t="str">
        <f>IFERROR(__xludf.DUMMYFUNCTION("""COMPUTED_VALUE"""),"ASPLOS")</f>
        <v>ASPLOS</v>
      </c>
      <c r="C4" s="55" t="str">
        <f>IFERROR(__xludf.DUMMYFUNCTION("""COMPUTED_VALUE"""),"International Conference on Architectural Support for Programming Languages and Operating Systems")</f>
        <v>International Conference on Architectural Support for Programming Languages and Operating Systems</v>
      </c>
      <c r="D4" s="54">
        <f>IFERROR(__xludf.DUMMYFUNCTION("""COMPUTED_VALUE"""),66.0)</f>
        <v>66</v>
      </c>
      <c r="E4" s="59" t="str">
        <f>IFERROR(__xludf.DUMMYFUNCTION("""COMPUTED_VALUE"""),"https://scholar.google.com/citations?hl=pt-BR&amp;view_op=list_hcore&amp;venue=KlkFB9T8yJEJ.2024")</f>
        <v>https://scholar.google.com/citations?hl=pt-BR&amp;view_op=list_hcore&amp;venue=KlkFB9T8yJEJ.2024</v>
      </c>
      <c r="F4" s="56"/>
      <c r="G4" s="57"/>
      <c r="I4" s="60" t="str">
        <f>IFERROR(__xludf.DUMMYFUNCTION("""COMPUTED_VALUE"""),"https://dblp.org/db/conf/asplos/index.html")</f>
        <v>https://dblp.org/db/conf/asplos/index.html</v>
      </c>
    </row>
    <row r="5">
      <c r="A5" s="58" t="str">
        <f>IFERROR(__xludf.DUMMYFUNCTION("""COMPUTED_VALUE"""),"Top 10")</f>
        <v>Top 10</v>
      </c>
      <c r="B5" s="54" t="str">
        <f>IFERROR(__xludf.DUMMYFUNCTION("""COMPUTED_VALUE"""),"IPDPS")</f>
        <v>IPDPS</v>
      </c>
      <c r="C5" s="55" t="str">
        <f>IFERROR(__xludf.DUMMYFUNCTION("""COMPUTED_VALUE"""),"IEEE International Parallel &amp; Distributed Processing Symposium")</f>
        <v>IEEE International Parallel &amp; Distributed Processing Symposium</v>
      </c>
      <c r="D5" s="54">
        <f>IFERROR(__xludf.DUMMYFUNCTION("""COMPUTED_VALUE"""),38.0)</f>
        <v>38</v>
      </c>
      <c r="E5" s="59" t="str">
        <f>IFERROR(__xludf.DUMMYFUNCTION("""COMPUTED_VALUE"""),"https://scholar.google.com/citations?hl=pt-BR&amp;view_op=list_hcore&amp;venue=Cge5_JoKLicJ.2024")</f>
        <v>https://scholar.google.com/citations?hl=pt-BR&amp;view_op=list_hcore&amp;venue=Cge5_JoKLicJ.2024</v>
      </c>
      <c r="F5" s="61"/>
      <c r="G5" s="57"/>
      <c r="I5" s="60" t="str">
        <f>IFERROR(__xludf.DUMMYFUNCTION("""COMPUTED_VALUE"""),"https://dblp.org/db/conf/ipps/index.html")</f>
        <v>https://dblp.org/db/conf/ipps/index.html</v>
      </c>
    </row>
    <row r="6">
      <c r="A6" s="58" t="str">
        <f>IFERROR(__xludf.DUMMYFUNCTION("""COMPUTED_VALUE"""),"Top 10")</f>
        <v>Top 10</v>
      </c>
      <c r="B6" s="54" t="str">
        <f>IFERROR(__xludf.DUMMYFUNCTION("""COMPUTED_VALUE"""),"SC")</f>
        <v>SC</v>
      </c>
      <c r="C6" s="62" t="str">
        <f>IFERROR(__xludf.DUMMYFUNCTION("""COMPUTED_VALUE"""),"International Conference for High Performance Computing, Networking, Storage and Analysis")</f>
        <v>International Conference for High Performance Computing, Networking, Storage and Analysis</v>
      </c>
      <c r="D6" s="54">
        <f>IFERROR(__xludf.DUMMYFUNCTION("""COMPUTED_VALUE"""),50.0)</f>
        <v>50</v>
      </c>
      <c r="E6" s="59" t="str">
        <f>IFERROR(__xludf.DUMMYFUNCTION("""COMPUTED_VALUE"""),"https://scholar.google.com/citations?hl=pt-BR&amp;view_op=list_hcore&amp;venue=s_dKfSWgBmwJ.2024")</f>
        <v>https://scholar.google.com/citations?hl=pt-BR&amp;view_op=list_hcore&amp;venue=s_dKfSWgBmwJ.2024</v>
      </c>
      <c r="F6" s="56"/>
      <c r="G6" s="57"/>
      <c r="I6" s="60" t="str">
        <f>IFERROR(__xludf.DUMMYFUNCTION("""COMPUTED_VALUE"""),"https://dblp.org/db/conf/sc/index.html")</f>
        <v>https://dblp.org/db/conf/sc/index.html</v>
      </c>
    </row>
    <row r="7">
      <c r="A7" s="58" t="str">
        <f>IFERROR(__xludf.DUMMYFUNCTION("""COMPUTED_VALUE"""),"Top 10")</f>
        <v>Top 10</v>
      </c>
      <c r="B7" s="54" t="str">
        <f>IFERROR(__xludf.DUMMYFUNCTION("""COMPUTED_VALUE"""),"MICRO")</f>
        <v>MICRO</v>
      </c>
      <c r="C7" s="55" t="str">
        <f>IFERROR(__xludf.DUMMYFUNCTION("""COMPUTED_VALUE"""),"IEEE/ACM International Symposium on Microarchitecture")</f>
        <v>IEEE/ACM International Symposium on Microarchitecture</v>
      </c>
      <c r="D7" s="54">
        <f>IFERROR(__xludf.DUMMYFUNCTION("""COMPUTED_VALUE"""),61.0)</f>
        <v>61</v>
      </c>
      <c r="E7" s="59" t="str">
        <f>IFERROR(__xludf.DUMMYFUNCTION("""COMPUTED_VALUE"""),"https://scholar.google.com/citations?hl=pt-BR&amp;view_op=list_hcore&amp;venue=UpKDzfQ1ak8J.2024")</f>
        <v>https://scholar.google.com/citations?hl=pt-BR&amp;view_op=list_hcore&amp;venue=UpKDzfQ1ak8J.2024</v>
      </c>
      <c r="F7" s="56"/>
      <c r="G7" s="57"/>
      <c r="I7" s="60" t="str">
        <f>IFERROR(__xludf.DUMMYFUNCTION("""COMPUTED_VALUE"""),"https://dblp.org/db/conf/micro/index.html")</f>
        <v>https://dblp.org/db/conf/micro/index.html</v>
      </c>
    </row>
    <row r="8">
      <c r="A8" s="58" t="str">
        <f>IFERROR(__xludf.DUMMYFUNCTION("""COMPUTED_VALUE"""),"Top 10")</f>
        <v>Top 10</v>
      </c>
      <c r="B8" s="54" t="str">
        <f>IFERROR(__xludf.DUMMYFUNCTION("""COMPUTED_VALUE"""),"CCGRID")</f>
        <v>CCGRID</v>
      </c>
      <c r="C8" s="55" t="str">
        <f>IFERROR(__xludf.DUMMYFUNCTION("""COMPUTED_VALUE"""),"IEEE/ACM International Symposium on Cluster, Cloud and Grid Computing")</f>
        <v>IEEE/ACM International Symposium on Cluster, Cloud and Grid Computing</v>
      </c>
      <c r="D8" s="54">
        <f>IFERROR(__xludf.DUMMYFUNCTION("""COMPUTED_VALUE"""),29.0)</f>
        <v>29</v>
      </c>
      <c r="E8" s="59" t="str">
        <f>IFERROR(__xludf.DUMMYFUNCTION("""COMPUTED_VALUE"""),"https://scholar.google.com.br/citations?hl=en&amp;view_op=list_hcore&amp;venue=_IeLSKDu4j0J.2024")</f>
        <v>https://scholar.google.com.br/citations?hl=en&amp;view_op=list_hcore&amp;venue=_IeLSKDu4j0J.2024</v>
      </c>
      <c r="F8" s="56"/>
      <c r="G8" s="57"/>
      <c r="I8" s="60" t="str">
        <f>IFERROR(__xludf.DUMMYFUNCTION("""COMPUTED_VALUE"""),"https://dblp.org/db/conf/ccgrid/index.html")</f>
        <v>https://dblp.org/db/conf/ccgrid/index.html</v>
      </c>
    </row>
    <row r="9">
      <c r="A9" s="58" t="str">
        <f>IFERROR(__xludf.DUMMYFUNCTION("""COMPUTED_VALUE"""),"Top 10")</f>
        <v>Top 10</v>
      </c>
      <c r="B9" s="54" t="str">
        <f>IFERROR(__xludf.DUMMYFUNCTION("""COMPUTED_VALUE"""),"PPOPP")</f>
        <v>PPOPP</v>
      </c>
      <c r="C9" s="63" t="str">
        <f>IFERROR(__xludf.DUMMYFUNCTION("""COMPUTED_VALUE"""),"ACM SIGPLAN Symposium on Principles and Practice of Parallel Programming")</f>
        <v>ACM SIGPLAN Symposium on Principles and Practice of Parallel Programming</v>
      </c>
      <c r="D9" s="54">
        <f>IFERROR(__xludf.DUMMYFUNCTION("""COMPUTED_VALUE"""),33.0)</f>
        <v>33</v>
      </c>
      <c r="E9" s="59" t="str">
        <f>IFERROR(__xludf.DUMMYFUNCTION("""COMPUTED_VALUE"""),"https://scholar.google.com.br/citations?hl=en&amp;view_op=list_hcore&amp;venue=JDUQTRUV4EYJ.2024")</f>
        <v>https://scholar.google.com.br/citations?hl=en&amp;view_op=list_hcore&amp;venue=JDUQTRUV4EYJ.2024</v>
      </c>
      <c r="F9" s="64"/>
      <c r="G9" s="57"/>
      <c r="I9" s="60" t="str">
        <f>IFERROR(__xludf.DUMMYFUNCTION("""COMPUTED_VALUE"""),"https://dblp.org/db/conf/ppopp/index.html")</f>
        <v>https://dblp.org/db/conf/ppopp/index.html</v>
      </c>
    </row>
    <row r="10">
      <c r="A10" s="58" t="str">
        <f>IFERROR(__xludf.DUMMYFUNCTION("""COMPUTED_VALUE"""),"Top 10")</f>
        <v>Top 10</v>
      </c>
      <c r="B10" s="54" t="str">
        <f>IFERROR(__xludf.DUMMYFUNCTION("""COMPUTED_VALUE"""),"SBAC-PAD")</f>
        <v>SBAC-PAD</v>
      </c>
      <c r="C10" s="55" t="str">
        <f>IFERROR(__xludf.DUMMYFUNCTION("""COMPUTED_VALUE"""),"International Symposium on Computer Architecture and High Performance Computing")</f>
        <v>International Symposium on Computer Architecture and High Performance Computing</v>
      </c>
      <c r="D10" s="54">
        <f>IFERROR(__xludf.DUMMYFUNCTION("""COMPUTED_VALUE"""),12.0)</f>
        <v>12</v>
      </c>
      <c r="E10" s="59" t="str">
        <f>IFERROR(__xludf.DUMMYFUNCTION("""COMPUTED_VALUE"""),"https://scholar.google.com.br/citations?hl=en&amp;view_op=list_hcore&amp;venue=xujU2BmpDawJ.2024")</f>
        <v>https://scholar.google.com.br/citations?hl=en&amp;view_op=list_hcore&amp;venue=xujU2BmpDawJ.2024</v>
      </c>
      <c r="F10" s="56"/>
      <c r="G10" s="57"/>
      <c r="I10" s="60" t="str">
        <f>IFERROR(__xludf.DUMMYFUNCTION("""COMPUTED_VALUE"""),"https://dblp.org/db/conf/sbac-pad/index.html")</f>
        <v>https://dblp.org/db/conf/sbac-pad/index.html</v>
      </c>
      <c r="J10" s="60" t="str">
        <f>IFERROR(__xludf.DUMMYFUNCTION("""COMPUTED_VALUE"""),"https://sol.sbc.org.br/index.php/sbac-pad/issue/archive")</f>
        <v>https://sol.sbc.org.br/index.php/sbac-pad/issue/archive</v>
      </c>
    </row>
    <row r="11">
      <c r="A11" s="58" t="str">
        <f>IFERROR(__xludf.DUMMYFUNCTION("""COMPUTED_VALUE"""),"Top 10")</f>
        <v>Top 10</v>
      </c>
      <c r="B11" s="54" t="str">
        <f>IFERROR(__xludf.DUMMYFUNCTION("""COMPUTED_VALUE"""),"WSCAD")</f>
        <v>WSCAD</v>
      </c>
      <c r="C11" s="55" t="str">
        <f>IFERROR(__xludf.DUMMYFUNCTION("""COMPUTED_VALUE"""),"Simpósio em Sistemas Computacionais de Alto Desempenho")</f>
        <v>Simpósio em Sistemas Computacionais de Alto Desempenho</v>
      </c>
      <c r="D11" s="54">
        <f>IFERROR(__xludf.DUMMYFUNCTION("""COMPUTED_VALUE"""),5.0)</f>
        <v>5</v>
      </c>
      <c r="E11" s="59" t="str">
        <f>IFERROR(__xludf.DUMMYFUNCTION("""COMPUTED_VALUE"""),"https://scholar.google.com.br/citations?hl=en&amp;view_op=list_hcore&amp;venue=MZeKedZe-5YJ.2024")</f>
        <v>https://scholar.google.com.br/citations?hl=en&amp;view_op=list_hcore&amp;venue=MZeKedZe-5YJ.2024</v>
      </c>
      <c r="F11" s="56" t="str">
        <f>IFERROR(__xludf.DUMMYFUNCTION("""COMPUTED_VALUE"""),"SSCAD")</f>
        <v>SSCAD</v>
      </c>
      <c r="G11" s="57"/>
      <c r="J11" s="60" t="str">
        <f>IFERROR(__xludf.DUMMYFUNCTION("""COMPUTED_VALUE"""),"https://sol.sbc.org.br/index.php/sscad")</f>
        <v>https://sol.sbc.org.br/index.php/sscad</v>
      </c>
    </row>
    <row r="12">
      <c r="A12" s="65" t="str">
        <f>IFERROR(__xludf.DUMMYFUNCTION("""COMPUTED_VALUE"""),"Top 20")</f>
        <v>Top 20</v>
      </c>
      <c r="B12" s="54" t="str">
        <f>IFERROR(__xludf.DUMMYFUNCTION("""COMPUTED_VALUE"""),"PACTT")</f>
        <v>PACTT</v>
      </c>
      <c r="C12" s="55" t="str">
        <f>IFERROR(__xludf.DUMMYFUNCTION("""COMPUTED_VALUE"""),"International Conference on Parallel Architectures and Compilation Techniques")</f>
        <v>International Conference on Parallel Architectures and Compilation Techniques</v>
      </c>
      <c r="D12" s="54">
        <f>IFERROR(__xludf.DUMMYFUNCTION("""COMPUTED_VALUE"""),21.0)</f>
        <v>21</v>
      </c>
      <c r="E12" s="59" t="str">
        <f>IFERROR(__xludf.DUMMYFUNCTION("""COMPUTED_VALUE"""),"https://scholar.google.com.br/citations?hl=en&amp;view_op=list_hcore&amp;venue=OLgTDUKI5wUJ.2024")</f>
        <v>https://scholar.google.com.br/citations?hl=en&amp;view_op=list_hcore&amp;venue=OLgTDUKI5wUJ.2024</v>
      </c>
      <c r="F12" s="66"/>
      <c r="G12" s="57"/>
      <c r="I12" s="60" t="str">
        <f>IFERROR(__xludf.DUMMYFUNCTION("""COMPUTED_VALUE"""),"https://dblp.org/db/conf/IEEEpact/index.html")</f>
        <v>https://dblp.org/db/conf/IEEEpact/index.html</v>
      </c>
    </row>
    <row r="13">
      <c r="A13" s="65" t="str">
        <f>IFERROR(__xludf.DUMMYFUNCTION("""COMPUTED_VALUE"""),"Top 20")</f>
        <v>Top 20</v>
      </c>
      <c r="B13" s="54" t="str">
        <f>IFERROR(__xludf.DUMMYFUNCTION("""COMPUTED_VALUE"""),"HPDC")</f>
        <v>HPDC</v>
      </c>
      <c r="C13" s="55" t="str">
        <f>IFERROR(__xludf.DUMMYFUNCTION("""COMPUTED_VALUE"""),"International Symposium on High Performance Distributed Computing")</f>
        <v>International Symposium on High Performance Distributed Computing</v>
      </c>
      <c r="D13" s="54">
        <f>IFERROR(__xludf.DUMMYFUNCTION("""COMPUTED_VALUE"""),21.0)</f>
        <v>21</v>
      </c>
      <c r="E13" s="59" t="str">
        <f>IFERROR(__xludf.DUMMYFUNCTION("""COMPUTED_VALUE"""),"https://scholar.google.com.br/citations?hl=en&amp;view_op=list_hcore&amp;venue=VcBBCUw4gmMJ.2024")</f>
        <v>https://scholar.google.com.br/citations?hl=en&amp;view_op=list_hcore&amp;venue=VcBBCUw4gmMJ.2024</v>
      </c>
      <c r="F13" s="56"/>
      <c r="G13" s="57"/>
      <c r="I13" s="60" t="str">
        <f>IFERROR(__xludf.DUMMYFUNCTION("""COMPUTED_VALUE"""),"https://dblp.org/db/conf/hpdc/index.html")</f>
        <v>https://dblp.org/db/conf/hpdc/index.html</v>
      </c>
    </row>
    <row r="14">
      <c r="A14" s="65" t="str">
        <f>IFERROR(__xludf.DUMMYFUNCTION("""COMPUTED_VALUE"""),"Top 20")</f>
        <v>Top 20</v>
      </c>
      <c r="B14" s="54" t="str">
        <f>IFERROR(__xludf.DUMMYFUNCTION("""COMPUTED_VALUE"""),"ICS")</f>
        <v>ICS</v>
      </c>
      <c r="C14" s="57" t="str">
        <f>IFERROR(__xludf.DUMMYFUNCTION("""COMPUTED_VALUE"""),"International Conference on Supercomputing")</f>
        <v>International Conference on Supercomputing</v>
      </c>
      <c r="D14" s="67">
        <f>IFERROR(__xludf.DUMMYFUNCTION("""COMPUTED_VALUE"""),26.0)</f>
        <v>26</v>
      </c>
      <c r="E14" s="59" t="str">
        <f>IFERROR(__xludf.DUMMYFUNCTION("""COMPUTED_VALUE"""),"https://scholar.google.com.br/citations?hl=en&amp;view_op=list_hcore&amp;venue=3tXj5_VxBMkJ.2024")</f>
        <v>https://scholar.google.com.br/citations?hl=en&amp;view_op=list_hcore&amp;venue=3tXj5_VxBMkJ.2024</v>
      </c>
      <c r="F14" s="56"/>
      <c r="G14" s="57"/>
      <c r="I14" s="60" t="str">
        <f>IFERROR(__xludf.DUMMYFUNCTION("""COMPUTED_VALUE"""),"https://dblp.org/db/conf/ics/index.html")</f>
        <v>https://dblp.org/db/conf/ics/index.html</v>
      </c>
    </row>
    <row r="15">
      <c r="A15" s="65" t="str">
        <f>IFERROR(__xludf.DUMMYFUNCTION("""COMPUTED_VALUE"""),"Top 20")</f>
        <v>Top 20</v>
      </c>
      <c r="B15" s="54" t="str">
        <f>IFERROR(__xludf.DUMMYFUNCTION("""COMPUTED_VALUE"""),"SPAA")</f>
        <v>SPAA</v>
      </c>
      <c r="C15" s="57" t="str">
        <f>IFERROR(__xludf.DUMMYFUNCTION("""COMPUTED_VALUE"""),"ACM Symposium on Parallelism in Algorithms and Architectures")</f>
        <v>ACM Symposium on Parallelism in Algorithms and Architectures</v>
      </c>
      <c r="D15" s="54">
        <f>IFERROR(__xludf.DUMMYFUNCTION("""COMPUTED_VALUE"""),22.0)</f>
        <v>22</v>
      </c>
      <c r="E15" s="59" t="str">
        <f>IFERROR(__xludf.DUMMYFUNCTION("""COMPUTED_VALUE"""),"https://scholar.google.com/citations?hl=en&amp;view_op=list_hcore&amp;venue=siTGI384Pw4J.2024")</f>
        <v>https://scholar.google.com/citations?hl=en&amp;view_op=list_hcore&amp;venue=siTGI384Pw4J.2024</v>
      </c>
      <c r="F15" s="56"/>
      <c r="G15" s="57"/>
      <c r="I15" s="60" t="str">
        <f>IFERROR(__xludf.DUMMYFUNCTION("""COMPUTED_VALUE"""),"https://dblp.org/db/conf/spaa/index.html")</f>
        <v>https://dblp.org/db/conf/spaa/index.html</v>
      </c>
    </row>
    <row r="16">
      <c r="A16" s="65" t="str">
        <f>IFERROR(__xludf.DUMMYFUNCTION("""COMPUTED_VALUE"""),"Top 20")</f>
        <v>Top 20</v>
      </c>
      <c r="B16" s="54" t="str">
        <f>IFERROR(__xludf.DUMMYFUNCTION("""COMPUTED_VALUE"""),"PDP")</f>
        <v>PDP</v>
      </c>
      <c r="C16" s="63" t="str">
        <f>IFERROR(__xludf.DUMMYFUNCTION("""COMPUTED_VALUE"""),"Euromicro International Conference on Parallel, Distributed and Network-Based Processing")</f>
        <v>Euromicro International Conference on Parallel, Distributed and Network-Based Processing</v>
      </c>
      <c r="D16" s="54">
        <f>IFERROR(__xludf.DUMMYFUNCTION("""COMPUTED_VALUE"""),16.0)</f>
        <v>16</v>
      </c>
      <c r="E16" s="59" t="str">
        <f>IFERROR(__xludf.DUMMYFUNCTION("""COMPUTED_VALUE"""),"https://scholar.google.com.br/citations?hl=pt-BR&amp;view_op=list_hcore&amp;venue=YhI5DwI2n2gJ.2024")</f>
        <v>https://scholar.google.com.br/citations?hl=pt-BR&amp;view_op=list_hcore&amp;venue=YhI5DwI2n2gJ.2024</v>
      </c>
      <c r="F16" s="64"/>
      <c r="G16" s="57"/>
      <c r="I16" s="60" t="str">
        <f>IFERROR(__xludf.DUMMYFUNCTION("""COMPUTED_VALUE"""),"https://dblp.org/db/conf/pdp/index.html")</f>
        <v>https://dblp.org/db/conf/pdp/index.html</v>
      </c>
    </row>
    <row r="17">
      <c r="A17" s="65" t="str">
        <f>IFERROR(__xludf.DUMMYFUNCTION("""COMPUTED_VALUE"""),"Top 20")</f>
        <v>Top 20</v>
      </c>
      <c r="B17" s="54" t="str">
        <f>IFERROR(__xludf.DUMMYFUNCTION("""COMPUTED_VALUE"""),"EUROPAR")</f>
        <v>EUROPAR</v>
      </c>
      <c r="C17" s="55" t="str">
        <f>IFERROR(__xludf.DUMMYFUNCTION("""COMPUTED_VALUE"""),"European Conference on Parallel Computing")</f>
        <v>European Conference on Parallel Computing</v>
      </c>
      <c r="D17" s="54">
        <f>IFERROR(__xludf.DUMMYFUNCTION("""COMPUTED_VALUE"""),15.0)</f>
        <v>15</v>
      </c>
      <c r="E17" s="59" t="str">
        <f>IFERROR(__xludf.DUMMYFUNCTION("""COMPUTED_VALUE"""),"https://scholar.google.com.br/citations?hl=en&amp;view_op=list_hcore&amp;venue=tOMY2Y_aVTMJ.2024")</f>
        <v>https://scholar.google.com.br/citations?hl=en&amp;view_op=list_hcore&amp;venue=tOMY2Y_aVTMJ.2024</v>
      </c>
      <c r="F17" s="66"/>
      <c r="G17" s="57"/>
      <c r="I17" s="60" t="str">
        <f>IFERROR(__xludf.DUMMYFUNCTION("""COMPUTED_VALUE"""),"https://dblp.org/db/conf/europar/index.html")</f>
        <v>https://dblp.org/db/conf/europar/index.html</v>
      </c>
    </row>
    <row r="18">
      <c r="A18" s="65" t="str">
        <f>IFERROR(__xludf.DUMMYFUNCTION("""COMPUTED_VALUE"""),"Top 20")</f>
        <v>Top 20</v>
      </c>
      <c r="B18" s="54" t="str">
        <f>IFERROR(__xludf.DUMMYFUNCTION("""COMPUTED_VALUE"""),"ISC")</f>
        <v>ISC</v>
      </c>
      <c r="C18" s="55" t="str">
        <f>IFERROR(__xludf.DUMMYFUNCTION("""COMPUTED_VALUE"""),"International Supercomputing Conference")</f>
        <v>International Supercomputing Conference</v>
      </c>
      <c r="D18" s="54">
        <f>IFERROR(__xludf.DUMMYFUNCTION("""COMPUTED_VALUE"""),14.0)</f>
        <v>14</v>
      </c>
      <c r="E18" s="59" t="str">
        <f>IFERROR(__xludf.DUMMYFUNCTION("""COMPUTED_VALUE"""),"https://scholar.google.com/citations?hl=en&amp;view_op=list_hcore&amp;venue=Vnq3DIsft2YJ.2024")</f>
        <v>https://scholar.google.com/citations?hl=en&amp;view_op=list_hcore&amp;venue=Vnq3DIsft2YJ.2024</v>
      </c>
      <c r="F18" s="56"/>
      <c r="G18" s="57" t="str">
        <f>IFERROR(__xludf.DUMMYFUNCTION("""COMPUTED_VALUE"""),"International Supercomputing Conference")</f>
        <v>International Supercomputing Conference</v>
      </c>
      <c r="I18" s="60" t="str">
        <f>IFERROR(__xludf.DUMMYFUNCTION("""COMPUTED_VALUE"""),"https://dblp.org/db/conf/isw/index.html")</f>
        <v>https://dblp.org/db/conf/isw/index.html</v>
      </c>
    </row>
    <row r="19">
      <c r="A19" s="65" t="str">
        <f>IFERROR(__xludf.DUMMYFUNCTION("""COMPUTED_VALUE"""),"Top 20")</f>
        <v>Top 20</v>
      </c>
      <c r="B19" s="54" t="str">
        <f>IFERROR(__xludf.DUMMYFUNCTION("""COMPUTED_VALUE"""),"ICPP")</f>
        <v>ICPP</v>
      </c>
      <c r="C19" s="55" t="str">
        <f>IFERROR(__xludf.DUMMYFUNCTION("""COMPUTED_VALUE"""),"International Conference on Parallel Processing")</f>
        <v>International Conference on Parallel Processing</v>
      </c>
      <c r="D19" s="54"/>
      <c r="E19" s="59"/>
      <c r="F19" s="56"/>
      <c r="G19" s="57"/>
    </row>
    <row r="20">
      <c r="A20" s="65" t="str">
        <f>IFERROR(__xludf.DUMMYFUNCTION("""COMPUTED_VALUE"""),"Top 20")</f>
        <v>Top 20</v>
      </c>
      <c r="B20" s="54" t="str">
        <f>IFERROR(__xludf.DUMMYFUNCTION("""COMPUTED_VALUE"""),"HPCC")</f>
        <v>HPCC</v>
      </c>
      <c r="C20" s="63" t="str">
        <f>IFERROR(__xludf.DUMMYFUNCTION("""COMPUTED_VALUE"""),"International Conference on High Performance Computing and Communications")</f>
        <v>International Conference on High Performance Computing and Communications</v>
      </c>
      <c r="D20" s="54">
        <f>IFERROR(__xludf.DUMMYFUNCTION("""COMPUTED_VALUE"""),20.0)</f>
        <v>20</v>
      </c>
      <c r="E20" s="59" t="str">
        <f>IFERROR(__xludf.DUMMYFUNCTION("""COMPUTED_VALUE"""),"https://scholar.google.com/citations?hl=en&amp;view_op=list_hcore&amp;venue=5z01YqRLwlYJ.2024")</f>
        <v>https://scholar.google.com/citations?hl=en&amp;view_op=list_hcore&amp;venue=5z01YqRLwlYJ.2024</v>
      </c>
      <c r="F20" s="64"/>
      <c r="G20" s="57"/>
      <c r="I20" s="60" t="str">
        <f>IFERROR(__xludf.DUMMYFUNCTION("""COMPUTED_VALUE"""),"https://dblp.org/db/conf/hpcc/index.html")</f>
        <v>https://dblp.org/db/conf/hpcc/index.html</v>
      </c>
    </row>
    <row r="21">
      <c r="A21" s="65" t="str">
        <f>IFERROR(__xludf.DUMMYFUNCTION("""COMPUTED_VALUE"""),"Top 20")</f>
        <v>Top 20</v>
      </c>
      <c r="B21" s="54" t="str">
        <f>IFERROR(__xludf.DUMMYFUNCTION("""COMPUTED_VALUE"""),"HIPC")</f>
        <v>HIPC</v>
      </c>
      <c r="C21" s="55" t="str">
        <f>IFERROR(__xludf.DUMMYFUNCTION("""COMPUTED_VALUE"""),"IEEE International Conference on High Performance Computing")</f>
        <v>IEEE International Conference on High Performance Computing</v>
      </c>
      <c r="D21" s="54">
        <f>IFERROR(__xludf.DUMMYFUNCTION("""COMPUTED_VALUE"""),14.0)</f>
        <v>14</v>
      </c>
      <c r="E21" s="59" t="str">
        <f>IFERROR(__xludf.DUMMYFUNCTION("""COMPUTED_VALUE"""),"https://scholar.google.com.br/citations?hl=en&amp;view_op=list_hcore&amp;venue=rjLGlFQoqI8J.2018")</f>
        <v>https://scholar.google.com.br/citations?hl=en&amp;view_op=list_hcore&amp;venue=rjLGlFQoqI8J.2018</v>
      </c>
      <c r="F21" s="56"/>
      <c r="G21" s="57" t="str">
        <f>IFERROR(__xludf.DUMMYFUNCTION("""COMPUTED_VALUE"""),"IEEE International Conference on High Performance Computing, Data, and Analytics")</f>
        <v>IEEE International Conference on High Performance Computing, Data, and Analytics</v>
      </c>
      <c r="I21" s="60" t="str">
        <f>IFERROR(__xludf.DUMMYFUNCTION("""COMPUTED_VALUE"""),"https://dblp.org/db/conf/hipc/index.html")</f>
        <v>https://dblp.org/db/conf/hipc/index.html</v>
      </c>
    </row>
    <row r="22">
      <c r="A22" s="68" t="str">
        <f>IFERROR(__xludf.DUMMYFUNCTION("""COMPUTED_VALUE"""),"Eventos da Área")</f>
        <v>Eventos da Área</v>
      </c>
      <c r="B22" s="54" t="str">
        <f>IFERROR(__xludf.DUMMYFUNCTION("""COMPUTED_VALUE"""),"SIGKDD")</f>
        <v>SIGKDD</v>
      </c>
      <c r="C22" s="55" t="str">
        <f>IFERROR(__xludf.DUMMYFUNCTION("""COMPUTED_VALUE"""),"ACM International Conference on Knowledge Discovery and Data Mining")</f>
        <v>ACM International Conference on Knowledge Discovery and Data Mining</v>
      </c>
      <c r="D22" s="54">
        <f>IFERROR(__xludf.DUMMYFUNCTION("""COMPUTED_VALUE"""),124.0)</f>
        <v>124</v>
      </c>
      <c r="E22" s="59" t="str">
        <f>IFERROR(__xludf.DUMMYFUNCTION("""COMPUTED_VALUE"""),"https://scholar.google.es/citations?hl=en&amp;view_op=list_hcore&amp;venue=DxPOk84pRIIJ.2024")</f>
        <v>https://scholar.google.es/citations?hl=en&amp;view_op=list_hcore&amp;venue=DxPOk84pRIIJ.2024</v>
      </c>
      <c r="F22" s="56"/>
      <c r="G22" s="57"/>
      <c r="I22" s="60" t="str">
        <f>IFERROR(__xludf.DUMMYFUNCTION("""COMPUTED_VALUE"""),"https://dblp.org/db/conf/kdd/index.html")</f>
        <v>https://dblp.org/db/conf/kdd/index.html</v>
      </c>
    </row>
    <row r="23">
      <c r="A23" s="68" t="str">
        <f>IFERROR(__xludf.DUMMYFUNCTION("""COMPUTED_VALUE"""),"Eventos da Área")</f>
        <v>Eventos da Área</v>
      </c>
      <c r="B23" s="54" t="str">
        <f>IFERROR(__xludf.DUMMYFUNCTION("""COMPUTED_VALUE"""),"DAC")</f>
        <v>DAC</v>
      </c>
      <c r="C23" s="55" t="str">
        <f>IFERROR(__xludf.DUMMYFUNCTION("""COMPUTED_VALUE"""),"Design Automation Conference")</f>
        <v>Design Automation Conference</v>
      </c>
      <c r="D23" s="54">
        <f>IFERROR(__xludf.DUMMYFUNCTION("""COMPUTED_VALUE"""),60.0)</f>
        <v>60</v>
      </c>
      <c r="E23" s="59" t="str">
        <f>IFERROR(__xludf.DUMMYFUNCTION("""COMPUTED_VALUE"""),"https://scholar.google.com/citations?hl=en&amp;view_op=list_hcore&amp;venue=LMgtaHBu8WIJ.2024")</f>
        <v>https://scholar.google.com/citations?hl=en&amp;view_op=list_hcore&amp;venue=LMgtaHBu8WIJ.2024</v>
      </c>
      <c r="F23" s="56"/>
      <c r="G23" s="57"/>
      <c r="I23" s="60" t="str">
        <f>IFERROR(__xludf.DUMMYFUNCTION("""COMPUTED_VALUE"""),"https://dblp.org/db/conf/dac/index.html")</f>
        <v>https://dblp.org/db/conf/dac/index.html</v>
      </c>
    </row>
    <row r="24">
      <c r="A24" s="68" t="str">
        <f>IFERROR(__xludf.DUMMYFUNCTION("""COMPUTED_VALUE"""),"Eventos da Área")</f>
        <v>Eventos da Área</v>
      </c>
      <c r="B24" s="54" t="str">
        <f>IFERROR(__xludf.DUMMYFUNCTION("""COMPUTED_VALUE"""),"BIGDATA")</f>
        <v>BIGDATA</v>
      </c>
      <c r="C24" s="55" t="str">
        <f>IFERROR(__xludf.DUMMYFUNCTION("""COMPUTED_VALUE"""),"IEEE International Conference on Big Data")</f>
        <v>IEEE International Conference on Big Data</v>
      </c>
      <c r="D24" s="54">
        <f>IFERROR(__xludf.DUMMYFUNCTION("""COMPUTED_VALUE"""),54.0)</f>
        <v>54</v>
      </c>
      <c r="E24" s="59" t="str">
        <f>IFERROR(__xludf.DUMMYFUNCTION("""COMPUTED_VALUE"""),"https://scholar.google.es/citations?hl=en&amp;view_op=list_hcore&amp;venue=5qcbaE0D5owJ.2024")</f>
        <v>https://scholar.google.es/citations?hl=en&amp;view_op=list_hcore&amp;venue=5qcbaE0D5owJ.2024</v>
      </c>
      <c r="F24" s="56"/>
      <c r="G24" s="57"/>
      <c r="I24" s="60" t="str">
        <f>IFERROR(__xludf.DUMMYFUNCTION("""COMPUTED_VALUE"""),"https://dblp.org/db/conf/bigdata/index.html")</f>
        <v>https://dblp.org/db/conf/bigdata/index.html</v>
      </c>
    </row>
    <row r="25">
      <c r="A25" s="68" t="str">
        <f>IFERROR(__xludf.DUMMYFUNCTION("""COMPUTED_VALUE"""),"Eventos da Área")</f>
        <v>Eventos da Área</v>
      </c>
      <c r="B25" s="54" t="str">
        <f>IFERROR(__xludf.DUMMYFUNCTION("""COMPUTED_VALUE"""),"ISCAS")</f>
        <v>ISCAS</v>
      </c>
      <c r="C25" s="55" t="str">
        <f>IFERROR(__xludf.DUMMYFUNCTION("""COMPUTED_VALUE"""),"IEEE International Symposium on Circuits and Systems")</f>
        <v>IEEE International Symposium on Circuits and Systems</v>
      </c>
      <c r="D25" s="54">
        <f>IFERROR(__xludf.DUMMYFUNCTION("""COMPUTED_VALUE"""),39.0)</f>
        <v>39</v>
      </c>
      <c r="E25" s="59" t="str">
        <f>IFERROR(__xludf.DUMMYFUNCTION("""COMPUTED_VALUE"""),"https://scholar.google.com.br/citations?hl=pt-BR&amp;view_op=list_hcore&amp;venue=V91jHpOGqs0J.2024")</f>
        <v>https://scholar.google.com.br/citations?hl=pt-BR&amp;view_op=list_hcore&amp;venue=V91jHpOGqs0J.2024</v>
      </c>
      <c r="F25" s="56"/>
      <c r="G25" s="57"/>
      <c r="I25" s="60" t="str">
        <f>IFERROR(__xludf.DUMMYFUNCTION("""COMPUTED_VALUE"""),"https://dblp.org/db/conf/iscas/index.html")</f>
        <v>https://dblp.org/db/conf/iscas/index.html</v>
      </c>
    </row>
    <row r="26">
      <c r="A26" s="68" t="str">
        <f>IFERROR(__xludf.DUMMYFUNCTION("""COMPUTED_VALUE"""),"Eventos da Área")</f>
        <v>Eventos da Área</v>
      </c>
      <c r="B26" s="54" t="str">
        <f>IFERROR(__xludf.DUMMYFUNCTION("""COMPUTED_VALUE"""),"FPGA")</f>
        <v>FPGA</v>
      </c>
      <c r="C26" s="63" t="str">
        <f>IFERROR(__xludf.DUMMYFUNCTION("""COMPUTED_VALUE"""),"Symposium on Field Programmable Gate Arrays")</f>
        <v>Symposium on Field Programmable Gate Arrays</v>
      </c>
      <c r="D26" s="54">
        <f>IFERROR(__xludf.DUMMYFUNCTION("""COMPUTED_VALUE"""),40.0)</f>
        <v>40</v>
      </c>
      <c r="E26" s="59" t="str">
        <f>IFERROR(__xludf.DUMMYFUNCTION("""COMPUTED_VALUE"""),"https://scholar.google.com/citations?hl=en&amp;view_op=list_hcore&amp;venue=X39h_ye2QL4J.2024")</f>
        <v>https://scholar.google.com/citations?hl=en&amp;view_op=list_hcore&amp;venue=X39h_ye2QL4J.2024</v>
      </c>
      <c r="F26" s="56"/>
      <c r="G26" s="57"/>
    </row>
    <row r="27">
      <c r="A27" s="68" t="str">
        <f>IFERROR(__xludf.DUMMYFUNCTION("""COMPUTED_VALUE"""),"Eventos da Área")</f>
        <v>Eventos da Área</v>
      </c>
      <c r="B27" s="54" t="str">
        <f>IFERROR(__xludf.DUMMYFUNCTION("""COMPUTED_VALUE"""),"FPL")</f>
        <v>FPL</v>
      </c>
      <c r="C27" s="63" t="str">
        <f>IFERROR(__xludf.DUMMYFUNCTION("""COMPUTED_VALUE"""),"International Conference on Field-Programmable Logic and Applications")</f>
        <v>International Conference on Field-Programmable Logic and Applications</v>
      </c>
      <c r="D27" s="54">
        <f>IFERROR(__xludf.DUMMYFUNCTION("""COMPUTED_VALUE"""),28.0)</f>
        <v>28</v>
      </c>
      <c r="E27" s="59" t="str">
        <f>IFERROR(__xludf.DUMMYFUNCTION("""COMPUTED_VALUE"""),"https://scholar.google.com.br/citations?hl=pt-BR&amp;view_op=list_hcore&amp;venue=7JfwVbgjkZUJ.2024")</f>
        <v>https://scholar.google.com.br/citations?hl=pt-BR&amp;view_op=list_hcore&amp;venue=7JfwVbgjkZUJ.2024</v>
      </c>
      <c r="F27" s="56"/>
      <c r="G27" s="57"/>
    </row>
    <row r="28">
      <c r="A28" s="68" t="str">
        <f>IFERROR(__xludf.DUMMYFUNCTION("""COMPUTED_VALUE"""),"Eventos da Área")</f>
        <v>Eventos da Área</v>
      </c>
      <c r="B28" s="54" t="str">
        <f>IFERROR(__xludf.DUMMYFUNCTION("""COMPUTED_VALUE"""),"IISWC")</f>
        <v>IISWC</v>
      </c>
      <c r="C28" s="55" t="str">
        <f>IFERROR(__xludf.DUMMYFUNCTION("""COMPUTED_VALUE"""),"IEEE International Symposium on Workload Characterization")</f>
        <v>IEEE International Symposium on Workload Characterization</v>
      </c>
      <c r="D28" s="54">
        <f>IFERROR(__xludf.DUMMYFUNCTION("""COMPUTED_VALUE"""),21.0)</f>
        <v>21</v>
      </c>
      <c r="E28" s="59" t="str">
        <f>IFERROR(__xludf.DUMMYFUNCTION("""COMPUTED_VALUE"""),"https://scholar.google.com.br/citations?hl=pt-BR&amp;view_op=list_hcore&amp;venue=4qd95Riz9Y4J.2024")</f>
        <v>https://scholar.google.com.br/citations?hl=pt-BR&amp;view_op=list_hcore&amp;venue=4qd95Riz9Y4J.2024</v>
      </c>
      <c r="F28" s="69"/>
      <c r="G28" s="57"/>
      <c r="I28" s="60" t="str">
        <f>IFERROR(__xludf.DUMMYFUNCTION("""COMPUTED_VALUE"""),"https://dblp.org/db/conf/iiswc/index.html")</f>
        <v>https://dblp.org/db/conf/iiswc/index.html</v>
      </c>
    </row>
    <row r="29">
      <c r="A29" s="68" t="str">
        <f>IFERROR(__xludf.DUMMYFUNCTION("""COMPUTED_VALUE"""),"Eventos da Área")</f>
        <v>Eventos da Área</v>
      </c>
      <c r="B29" s="54" t="str">
        <f>IFERROR(__xludf.DUMMYFUNCTION("""COMPUTED_VALUE"""),"UCC")</f>
        <v>UCC</v>
      </c>
      <c r="C29" s="63" t="str">
        <f>IFERROR(__xludf.DUMMYFUNCTION("""COMPUTED_VALUE"""),"IEEE/ACM International Conference on Utility and Cloud Computing")</f>
        <v>IEEE/ACM International Conference on Utility and Cloud Computing</v>
      </c>
      <c r="D29" s="54">
        <f>IFERROR(__xludf.DUMMYFUNCTION("""COMPUTED_VALUE"""),23.0)</f>
        <v>23</v>
      </c>
      <c r="E29" s="59" t="str">
        <f>IFERROR(__xludf.DUMMYFUNCTION("""COMPUTED_VALUE"""),"https://scholar.google.com.br/citations?hl=pt-BR&amp;view_op=list_hcore&amp;venue=gCzn4TRHFGQJ.2024")</f>
        <v>https://scholar.google.com.br/citations?hl=pt-BR&amp;view_op=list_hcore&amp;venue=gCzn4TRHFGQJ.2024</v>
      </c>
      <c r="F29" s="56"/>
      <c r="G29" s="57"/>
      <c r="I29" s="60" t="str">
        <f>IFERROR(__xludf.DUMMYFUNCTION("""COMPUTED_VALUE"""),"https://dblp.org/db/conf/ucc/index.html")</f>
        <v>https://dblp.org/db/conf/ucc/index.html</v>
      </c>
    </row>
    <row r="30">
      <c r="A30" s="68" t="str">
        <f>IFERROR(__xludf.DUMMYFUNCTION("""COMPUTED_VALUE"""),"Eventos da Área")</f>
        <v>Eventos da Área</v>
      </c>
      <c r="B30" s="54" t="str">
        <f>IFERROR(__xludf.DUMMYFUNCTION("""COMPUTED_VALUE"""),"CLUSTER")</f>
        <v>CLUSTER</v>
      </c>
      <c r="C30" s="55" t="str">
        <f>IFERROR(__xludf.DUMMYFUNCTION("""COMPUTED_VALUE"""),"IEEE International Conference on Cluster Computing")</f>
        <v>IEEE International Conference on Cluster Computing</v>
      </c>
      <c r="D30" s="54">
        <f>IFERROR(__xludf.DUMMYFUNCTION("""COMPUTED_VALUE"""),22.0)</f>
        <v>22</v>
      </c>
      <c r="E30" s="59" t="str">
        <f>IFERROR(__xludf.DUMMYFUNCTION("""COMPUTED_VALUE"""),"https://scholar.google.com.br/citations?hl=en&amp;view_op=list_hcore&amp;venue=55hG19HkCfUJ.2024")</f>
        <v>https://scholar.google.com.br/citations?hl=en&amp;view_op=list_hcore&amp;venue=55hG19HkCfUJ.2024</v>
      </c>
      <c r="F30" s="56"/>
      <c r="G30" s="57"/>
      <c r="I30" s="60" t="str">
        <f>IFERROR(__xludf.DUMMYFUNCTION("""COMPUTED_VALUE"""),"https://dblp.org/db/conf/cluster/index.html")</f>
        <v>https://dblp.org/db/conf/cluster/index.html</v>
      </c>
    </row>
    <row r="31">
      <c r="A31" s="68" t="str">
        <f>IFERROR(__xludf.DUMMYFUNCTION("""COMPUTED_VALUE"""),"Eventos da Área")</f>
        <v>Eventos da Área</v>
      </c>
      <c r="B31" s="54" t="str">
        <f>IFERROR(__xludf.DUMMYFUNCTION("""COMPUTED_VALUE"""),"ISCC")</f>
        <v>ISCC</v>
      </c>
      <c r="C31" s="55" t="str">
        <f>IFERROR(__xludf.DUMMYFUNCTION("""COMPUTED_VALUE"""),"International Symposium on Computers and Communications")</f>
        <v>International Symposium on Computers and Communications</v>
      </c>
      <c r="D31" s="54">
        <f>IFERROR(__xludf.DUMMYFUNCTION("""COMPUTED_VALUE"""),26.0)</f>
        <v>26</v>
      </c>
      <c r="E31" s="59" t="str">
        <f>IFERROR(__xludf.DUMMYFUNCTION("""COMPUTED_VALUE"""),"https://scholar.google.com.br/citations?hl=pt-BR&amp;view_op=list_hcore&amp;venue=0jK8bHjCH68J.2024")</f>
        <v>https://scholar.google.com.br/citations?hl=pt-BR&amp;view_op=list_hcore&amp;venue=0jK8bHjCH68J.2024</v>
      </c>
      <c r="F31" s="56"/>
      <c r="G31" s="57"/>
      <c r="I31" s="60" t="str">
        <f>IFERROR(__xludf.DUMMYFUNCTION("""COMPUTED_VALUE"""),"https://dblp.org/db/conf/iscc/index.html")</f>
        <v>https://dblp.org/db/conf/iscc/index.html</v>
      </c>
    </row>
    <row r="32">
      <c r="A32" s="68" t="str">
        <f>IFERROR(__xludf.DUMMYFUNCTION("""COMPUTED_VALUE"""),"Eventos da Área")</f>
        <v>Eventos da Área</v>
      </c>
      <c r="B32" s="54" t="str">
        <f>IFERROR(__xludf.DUMMYFUNCTION("""COMPUTED_VALUE"""),"CLOSER")</f>
        <v>CLOSER</v>
      </c>
      <c r="C32" s="63" t="str">
        <f>IFERROR(__xludf.DUMMYFUNCTION("""COMPUTED_VALUE"""),"International Conference on Cloud Computing and Services Science")</f>
        <v>International Conference on Cloud Computing and Services Science</v>
      </c>
      <c r="D32" s="54">
        <f>IFERROR(__xludf.DUMMYFUNCTION("""COMPUTED_VALUE"""),15.0)</f>
        <v>15</v>
      </c>
      <c r="E32" s="59" t="str">
        <f>IFERROR(__xludf.DUMMYFUNCTION("""COMPUTED_VALUE"""),"https://scholar.google.com.br/citations?hl=en&amp;view_op=list_hcore&amp;venue=hltkuBaF_uEJ.2024")</f>
        <v>https://scholar.google.com.br/citations?hl=en&amp;view_op=list_hcore&amp;venue=hltkuBaF_uEJ.2024</v>
      </c>
      <c r="F32" s="56"/>
      <c r="G32" s="57"/>
      <c r="I32" s="60" t="str">
        <f>IFERROR(__xludf.DUMMYFUNCTION("""COMPUTED_VALUE"""),"https://dblp.org/db/conf/closer/index.html")</f>
        <v>https://dblp.org/db/conf/closer/index.html</v>
      </c>
    </row>
    <row r="33">
      <c r="A33" s="68" t="str">
        <f>IFERROR(__xludf.DUMMYFUNCTION("""COMPUTED_VALUE"""),"Eventos da Área")</f>
        <v>Eventos da Área</v>
      </c>
      <c r="B33" s="54" t="str">
        <f>IFERROR(__xludf.DUMMYFUNCTION("""COMPUTED_VALUE"""),"CloudCom")</f>
        <v>CloudCom</v>
      </c>
      <c r="C33" s="55" t="str">
        <f>IFERROR(__xludf.DUMMYFUNCTION("""COMPUTED_VALUE"""),"IEEE International Conference on Cloud Computing Technology and Science")</f>
        <v>IEEE International Conference on Cloud Computing Technology and Science</v>
      </c>
      <c r="D33" s="54">
        <f>IFERROR(__xludf.DUMMYFUNCTION("""COMPUTED_VALUE"""),13.0)</f>
        <v>13</v>
      </c>
      <c r="E33" s="59" t="str">
        <f>IFERROR(__xludf.DUMMYFUNCTION("""COMPUTED_VALUE"""),"https://scholar.google.com.br/citations?hl=pt-BR&amp;view_op=list_hcore&amp;venue=aNZ314HiR4YJ.2024")</f>
        <v>https://scholar.google.com.br/citations?hl=pt-BR&amp;view_op=list_hcore&amp;venue=aNZ314HiR4YJ.2024</v>
      </c>
      <c r="F33" s="56"/>
      <c r="G33" s="57"/>
      <c r="I33" s="60" t="str">
        <f>IFERROR(__xludf.DUMMYFUNCTION("""COMPUTED_VALUE"""),"https://dblp.org/db/conf/cloudcom/index.html")</f>
        <v>https://dblp.org/db/conf/cloudcom/index.html</v>
      </c>
    </row>
    <row r="34">
      <c r="A34" s="68" t="str">
        <f>IFERROR(__xludf.DUMMYFUNCTION("""COMPUTED_VALUE"""),"Eventos da Área")</f>
        <v>Eventos da Área</v>
      </c>
      <c r="B34" s="54" t="str">
        <f>IFERROR(__xludf.DUMMYFUNCTION("""COMPUTED_VALUE"""),"HPCS")</f>
        <v>HPCS</v>
      </c>
      <c r="C34" s="55" t="str">
        <f>IFERROR(__xludf.DUMMYFUNCTION("""COMPUTED_VALUE"""),"International Conference on High Performance Computing &amp; Simulation")</f>
        <v>International Conference on High Performance Computing &amp; Simulation</v>
      </c>
      <c r="D34" s="54">
        <f>IFERROR(__xludf.DUMMYFUNCTION("""COMPUTED_VALUE"""),13.0)</f>
        <v>13</v>
      </c>
      <c r="E34" s="59" t="str">
        <f>IFERROR(__xludf.DUMMYFUNCTION("""COMPUTED_VALUE"""),"https://scholar.google.com.br/citations?hl=pt-BR&amp;view_op=list_hcore&amp;venue=BegUMfxqGy4J.2024")</f>
        <v>https://scholar.google.com.br/citations?hl=pt-BR&amp;view_op=list_hcore&amp;venue=BegUMfxqGy4J.2024</v>
      </c>
      <c r="F34" s="56"/>
      <c r="G34" s="57"/>
      <c r="I34" s="60" t="str">
        <f>IFERROR(__xludf.DUMMYFUNCTION("""COMPUTED_VALUE"""),"https://dblp.org/db/conf/ieeehpcs/index.html")</f>
        <v>https://dblp.org/db/conf/ieeehpcs/index.html</v>
      </c>
    </row>
    <row r="35">
      <c r="A35" s="68" t="str">
        <f>IFERROR(__xludf.DUMMYFUNCTION("""COMPUTED_VALUE"""),"Eventos da Área")</f>
        <v>Eventos da Área</v>
      </c>
      <c r="B35" s="54" t="str">
        <f>IFERROR(__xludf.DUMMYFUNCTION("""COMPUTED_VALUE"""),"DSD")</f>
        <v>DSD</v>
      </c>
      <c r="C35" s="55" t="str">
        <f>IFERROR(__xludf.DUMMYFUNCTION("""COMPUTED_VALUE"""),"Euromicro Conference on Digital System Design, Architectures, Methods and Tools")</f>
        <v>Euromicro Conference on Digital System Design, Architectures, Methods and Tools</v>
      </c>
      <c r="D35" s="54">
        <f>IFERROR(__xludf.DUMMYFUNCTION("""COMPUTED_VALUE"""),18.0)</f>
        <v>18</v>
      </c>
      <c r="E35" s="59" t="str">
        <f>IFERROR(__xludf.DUMMYFUNCTION("""COMPUTED_VALUE"""),"https://scholar.google.com.br/citations?hl=pt-BR&amp;view_op=list_hcore&amp;venue=42wcJhr2yF0J.2024")</f>
        <v>https://scholar.google.com.br/citations?hl=pt-BR&amp;view_op=list_hcore&amp;venue=42wcJhr2yF0J.2024</v>
      </c>
      <c r="F35" s="56"/>
      <c r="G35" s="57"/>
      <c r="I35" s="60" t="str">
        <f>IFERROR(__xludf.DUMMYFUNCTION("""COMPUTED_VALUE"""),"https://dblp.org/db/conf/dsd/index.html")</f>
        <v>https://dblp.org/db/conf/dsd/index.html</v>
      </c>
    </row>
    <row r="36">
      <c r="A36" s="68" t="str">
        <f>IFERROR(__xludf.DUMMYFUNCTION("""COMPUTED_VALUE"""),"Eventos da Área")</f>
        <v>Eventos da Área</v>
      </c>
      <c r="B36" s="54" t="str">
        <f>IFERROR(__xludf.DUMMYFUNCTION("""COMPUTED_VALUE"""),"NOCS")</f>
        <v>NOCS</v>
      </c>
      <c r="C36" s="63" t="str">
        <f>IFERROR(__xludf.DUMMYFUNCTION("""COMPUTED_VALUE"""),"ACM/IEEE International Symposium on Networks-on-Chip")</f>
        <v>ACM/IEEE International Symposium on Networks-on-Chip</v>
      </c>
      <c r="D36" s="54">
        <f>IFERROR(__xludf.DUMMYFUNCTION("""COMPUTED_VALUE"""),16.0)</f>
        <v>16</v>
      </c>
      <c r="E36" s="59" t="str">
        <f>IFERROR(__xludf.DUMMYFUNCTION("""COMPUTED_VALUE"""),"https://scholar.google.com.br/citations?hl=pt-BR&amp;view_op=list_hcore&amp;venue=kqnJhx6rIkYJ.2018")</f>
        <v>https://scholar.google.com.br/citations?hl=pt-BR&amp;view_op=list_hcore&amp;venue=kqnJhx6rIkYJ.2018</v>
      </c>
      <c r="F36" s="56"/>
      <c r="G36" s="57"/>
      <c r="I36" s="60" t="str">
        <f>IFERROR(__xludf.DUMMYFUNCTION("""COMPUTED_VALUE"""),"https://dblp.org/db/conf/nocs/index.html")</f>
        <v>https://dblp.org/db/conf/nocs/index.html</v>
      </c>
    </row>
    <row r="37">
      <c r="A37" s="68" t="str">
        <f>IFERROR(__xludf.DUMMYFUNCTION("""COMPUTED_VALUE"""),"Eventos da Área")</f>
        <v>Eventos da Área</v>
      </c>
      <c r="B37" s="70" t="str">
        <f>IFERROR(__xludf.DUMMYFUNCTION("""COMPUTED_VALUE"""),"ASAP")</f>
        <v>ASAP</v>
      </c>
      <c r="C37" s="63" t="str">
        <f>IFERROR(__xludf.DUMMYFUNCTION("""COMPUTED_VALUE"""),"IEEE International Conference on Application-specific Systems, Architectures and Processors")</f>
        <v>IEEE International Conference on Application-specific Systems, Architectures and Processors</v>
      </c>
      <c r="D37" s="54">
        <f>IFERROR(__xludf.DUMMYFUNCTION("""COMPUTED_VALUE"""),20.0)</f>
        <v>20</v>
      </c>
      <c r="E37" s="59" t="str">
        <f>IFERROR(__xludf.DUMMYFUNCTION("""COMPUTED_VALUE"""),"https://scholar.google.com.br/citations?hl=en&amp;view_op=list_hcore&amp;venue=8awDgn_OhGYJ.2024")</f>
        <v>https://scholar.google.com.br/citations?hl=en&amp;view_op=list_hcore&amp;venue=8awDgn_OhGYJ.2024</v>
      </c>
      <c r="F37" s="56"/>
      <c r="G37" s="57"/>
      <c r="I37" s="60" t="str">
        <f>IFERROR(__xludf.DUMMYFUNCTION("""COMPUTED_VALUE"""),"https://dblp.org/db/conf/asap/index.html")</f>
        <v>https://dblp.org/db/conf/asap/index.html</v>
      </c>
    </row>
    <row r="38">
      <c r="A38" s="68" t="str">
        <f>IFERROR(__xludf.DUMMYFUNCTION("""COMPUTED_VALUE"""),"Eventos da Área")</f>
        <v>Eventos da Área</v>
      </c>
      <c r="B38" s="54" t="str">
        <f>IFERROR(__xludf.DUMMYFUNCTION("""COMPUTED_VALUE"""),"CASES")</f>
        <v>CASES</v>
      </c>
      <c r="C38" s="63" t="str">
        <f>IFERROR(__xludf.DUMMYFUNCTION("""COMPUTED_VALUE"""),"International Conference on Compilers, Architecture, and Synthesis for Embedded Systems")</f>
        <v>International Conference on Compilers, Architecture, and Synthesis for Embedded Systems</v>
      </c>
      <c r="D38" s="54">
        <f>IFERROR(__xludf.DUMMYFUNCTION("""COMPUTED_VALUE"""),15.0)</f>
        <v>15</v>
      </c>
      <c r="E38" s="59" t="str">
        <f>IFERROR(__xludf.DUMMYFUNCTION("""COMPUTED_VALUE"""),"https://scholar.google.com/citations?hl=en&amp;view_op=list_hcore&amp;venue=TEhiaki8604J.2018")</f>
        <v>https://scholar.google.com/citations?hl=en&amp;view_op=list_hcore&amp;venue=TEhiaki8604J.2018</v>
      </c>
      <c r="F38" s="56"/>
      <c r="G38" s="57"/>
      <c r="I38" s="60" t="str">
        <f>IFERROR(__xludf.DUMMYFUNCTION("""COMPUTED_VALUE"""),"https://dblp.org/db/conf/cases/index.html")</f>
        <v>https://dblp.org/db/conf/cases/index.html</v>
      </c>
    </row>
    <row r="39">
      <c r="A39" s="68" t="str">
        <f>IFERROR(__xludf.DUMMYFUNCTION("""COMPUTED_VALUE"""),"Eventos da Área")</f>
        <v>Eventos da Área</v>
      </c>
      <c r="B39" s="54" t="str">
        <f>IFERROR(__xludf.DUMMYFUNCTION("""COMPUTED_VALUE"""),"ICPADS")</f>
        <v>ICPADS</v>
      </c>
      <c r="C39" s="55" t="str">
        <f>IFERROR(__xludf.DUMMYFUNCTION("""COMPUTED_VALUE"""),"International Conference on Parallel and Distributed Systems")</f>
        <v>International Conference on Parallel and Distributed Systems</v>
      </c>
      <c r="D39" s="54">
        <f>IFERROR(__xludf.DUMMYFUNCTION("""COMPUTED_VALUE"""),21.0)</f>
        <v>21</v>
      </c>
      <c r="E39" s="59" t="str">
        <f>IFERROR(__xludf.DUMMYFUNCTION("""COMPUTED_VALUE"""),"https://scholar.google.com.br/citations?hl=pt-BR&amp;view_op=list_hcore&amp;venue=J2WvLRIhE6UJ.2024")</f>
        <v>https://scholar.google.com.br/citations?hl=pt-BR&amp;view_op=list_hcore&amp;venue=J2WvLRIhE6UJ.2024</v>
      </c>
      <c r="F39" s="56"/>
      <c r="G39" s="57"/>
      <c r="I39" s="60" t="str">
        <f>IFERROR(__xludf.DUMMYFUNCTION("""COMPUTED_VALUE"""),"https://dblp.org/db/conf/icpads/index.html")</f>
        <v>https://dblp.org/db/conf/icpads/index.html</v>
      </c>
    </row>
    <row r="40">
      <c r="A40" s="68" t="str">
        <f>IFERROR(__xludf.DUMMYFUNCTION("""COMPUTED_VALUE"""),"Eventos da Área")</f>
        <v>Eventos da Área</v>
      </c>
      <c r="B40" s="54" t="str">
        <f>IFERROR(__xludf.DUMMYFUNCTION("""COMPUTED_VALUE"""),"ICECS")</f>
        <v>ICECS</v>
      </c>
      <c r="C40" s="63" t="str">
        <f>IFERROR(__xludf.DUMMYFUNCTION("""COMPUTED_VALUE"""),"IEEE International Conference on Electronics, Circuits and Systems")</f>
        <v>IEEE International Conference on Electronics, Circuits and Systems</v>
      </c>
      <c r="D40" s="54">
        <f>IFERROR(__xludf.DUMMYFUNCTION("""COMPUTED_VALUE"""),18.0)</f>
        <v>18</v>
      </c>
      <c r="E40" s="59" t="str">
        <f>IFERROR(__xludf.DUMMYFUNCTION("""COMPUTED_VALUE"""),"https://scholar.google.com.br/citations?hl=pt-BR&amp;view_op=list_hcore&amp;venue=9Io6PPD79ysJ.2024")</f>
        <v>https://scholar.google.com.br/citations?hl=pt-BR&amp;view_op=list_hcore&amp;venue=9Io6PPD79ysJ.2024</v>
      </c>
      <c r="F40" s="56"/>
      <c r="G40" s="57"/>
      <c r="I40" s="60" t="str">
        <f>IFERROR(__xludf.DUMMYFUNCTION("""COMPUTED_VALUE"""),"https://dblp.org/db/conf/icecsys/index.html")</f>
        <v>https://dblp.org/db/conf/icecsys/index.html</v>
      </c>
    </row>
    <row r="41">
      <c r="A41" s="68" t="str">
        <f>IFERROR(__xludf.DUMMYFUNCTION("""COMPUTED_VALUE"""),"Eventos da Área")</f>
        <v>Eventos da Área</v>
      </c>
      <c r="B41" s="67" t="str">
        <f>IFERROR(__xludf.DUMMYFUNCTION("""COMPUTED_VALUE"""),"PACT")</f>
        <v>PACT</v>
      </c>
      <c r="C41" s="63" t="str">
        <f>IFERROR(__xludf.DUMMYFUNCTION("""COMPUTED_VALUE"""),"International Conference on Parallel Computing Technologies")</f>
        <v>International Conference on Parallel Computing Technologies</v>
      </c>
      <c r="D41" s="67">
        <f>IFERROR(__xludf.DUMMYFUNCTION("""COMPUTED_VALUE"""),12.0)</f>
        <v>12</v>
      </c>
      <c r="E41" s="59" t="str">
        <f>IFERROR(__xludf.DUMMYFUNCTION("""COMPUTED_VALUE"""),"https://scholar.google.com.br/citations?hl=pt-BR&amp;view_op=list_hcore&amp;venue=rAbNW5NaTSIJ.2018")</f>
        <v>https://scholar.google.com.br/citations?hl=pt-BR&amp;view_op=list_hcore&amp;venue=rAbNW5NaTSIJ.2018</v>
      </c>
      <c r="F41" s="69"/>
      <c r="G41" s="57"/>
      <c r="I41" s="60" t="str">
        <f>IFERROR(__xludf.DUMMYFUNCTION("""COMPUTED_VALUE"""),"https://dblp.org/db/conf/pact/index.html")</f>
        <v>https://dblp.org/db/conf/pact/index.html</v>
      </c>
    </row>
    <row r="42">
      <c r="A42" s="68" t="str">
        <f>IFERROR(__xludf.DUMMYFUNCTION("""COMPUTED_VALUE"""),"Eventos da Área")</f>
        <v>Eventos da Área</v>
      </c>
      <c r="B42" s="54" t="str">
        <f>IFERROR(__xludf.DUMMYFUNCTION("""COMPUTED_VALUE"""),"EuroMPI")</f>
        <v>EuroMPI</v>
      </c>
      <c r="C42" s="63" t="str">
        <f>IFERROR(__xludf.DUMMYFUNCTION("""COMPUTED_VALUE"""),"European MPI Users Group Meeting")</f>
        <v>European MPI Users Group Meeting</v>
      </c>
      <c r="D42" s="54">
        <f>IFERROR(__xludf.DUMMYFUNCTION("""COMPUTED_VALUE"""),12.0)</f>
        <v>12</v>
      </c>
      <c r="E42" s="59" t="str">
        <f>IFERROR(__xludf.DUMMYFUNCTION("""COMPUTED_VALUE"""),"https://scholar.google.com/citations?hl=en&amp;view_op=list_hcore&amp;venue=eVYF6giBmnoJ.2018")</f>
        <v>https://scholar.google.com/citations?hl=en&amp;view_op=list_hcore&amp;venue=eVYF6giBmnoJ.2018</v>
      </c>
      <c r="F42" s="56"/>
      <c r="G42" s="57"/>
      <c r="I42" s="60" t="str">
        <f>IFERROR(__xludf.DUMMYFUNCTION("""COMPUTED_VALUE"""),"https://dblp.org/db/conf/pvm/index.html")</f>
        <v>https://dblp.org/db/conf/pvm/index.html</v>
      </c>
    </row>
    <row r="43">
      <c r="A43" s="68" t="str">
        <f>IFERROR(__xludf.DUMMYFUNCTION("""COMPUTED_VALUE"""),"Eventos da Área")</f>
        <v>Eventos da Área</v>
      </c>
      <c r="B43" s="54" t="str">
        <f>IFERROR(__xludf.DUMMYFUNCTION("""COMPUTED_VALUE"""),"ARCS")</f>
        <v>ARCS</v>
      </c>
      <c r="C43" s="57" t="str">
        <f>IFERROR(__xludf.DUMMYFUNCTION("""COMPUTED_VALUE"""),"International Conference on Architecture of Computing Systems")</f>
        <v>International Conference on Architecture of Computing Systems</v>
      </c>
      <c r="D43" s="54">
        <f>IFERROR(__xludf.DUMMYFUNCTION("""COMPUTED_VALUE"""),8.0)</f>
        <v>8</v>
      </c>
      <c r="E43" s="59" t="str">
        <f>IFERROR(__xludf.DUMMYFUNCTION("""COMPUTED_VALUE"""),"https://scholar.google.com.br/citations?hl=pt-BR&amp;view_op=list_hcore&amp;venue=0iDRKaj8G38J.2024")</f>
        <v>https://scholar.google.com.br/citations?hl=pt-BR&amp;view_op=list_hcore&amp;venue=0iDRKaj8G38J.2024</v>
      </c>
      <c r="F43" s="56"/>
      <c r="G43" s="57"/>
      <c r="I43" s="60" t="str">
        <f>IFERROR(__xludf.DUMMYFUNCTION("""COMPUTED_VALUE"""),"https://dblp.org/db/conf/arcs/index.html")</f>
        <v>https://dblp.org/db/conf/arcs/index.html</v>
      </c>
    </row>
    <row r="44">
      <c r="A44" s="68" t="str">
        <f>IFERROR(__xludf.DUMMYFUNCTION("""COMPUTED_VALUE"""),"Eventos da Área")</f>
        <v>Eventos da Área</v>
      </c>
      <c r="B44" s="54" t="str">
        <f>IFERROR(__xludf.DUMMYFUNCTION("""COMPUTED_VALUE"""),"VLSI-SOC")</f>
        <v>VLSI-SOC</v>
      </c>
      <c r="C44" s="55" t="str">
        <f>IFERROR(__xludf.DUMMYFUNCTION("""COMPUTED_VALUE"""),"IEEE/IFIP International Conference on VLSI and System-on-Chip")</f>
        <v>IEEE/IFIP International Conference on VLSI and System-on-Chip</v>
      </c>
      <c r="D44" s="71">
        <f>IFERROR(__xludf.DUMMYFUNCTION("""COMPUTED_VALUE"""),13.0)</f>
        <v>13</v>
      </c>
      <c r="E44" s="59" t="str">
        <f>IFERROR(__xludf.DUMMYFUNCTION("""COMPUTED_VALUE"""),"https://scholar.google.com/citations?hl=en&amp;view_op=list_hcore&amp;venue=0lu0mPyqVXAJ.2024")</f>
        <v>https://scholar.google.com/citations?hl=en&amp;view_op=list_hcore&amp;venue=0lu0mPyqVXAJ.2024</v>
      </c>
      <c r="F44" s="56"/>
      <c r="G44" s="57"/>
      <c r="I44" s="60" t="str">
        <f>IFERROR(__xludf.DUMMYFUNCTION("""COMPUTED_VALUE"""),"https://dblp.org/db/conf/vlsi/index.html")</f>
        <v>https://dblp.org/db/conf/vlsi/index.html</v>
      </c>
    </row>
    <row r="45">
      <c r="A45" s="68" t="str">
        <f>IFERROR(__xludf.DUMMYFUNCTION("""COMPUTED_VALUE"""),"Eventos da Área")</f>
        <v>Eventos da Área</v>
      </c>
      <c r="B45" s="54" t="str">
        <f>IFERROR(__xludf.DUMMYFUNCTION("""COMPUTED_VALUE"""),"WETICE")</f>
        <v>WETICE</v>
      </c>
      <c r="C45" s="55" t="str">
        <f>IFERROR(__xludf.DUMMYFUNCTION("""COMPUTED_VALUE"""),"IEEE International Conference on Enabling Technologies: Infrastructure for Collaborative Enterprises")</f>
        <v>IEEE International Conference on Enabling Technologies: Infrastructure for Collaborative Enterprises</v>
      </c>
      <c r="D45" s="71">
        <f>IFERROR(__xludf.DUMMYFUNCTION("""COMPUTED_VALUE"""),16.0)</f>
        <v>16</v>
      </c>
      <c r="E45" s="59" t="str">
        <f>IFERROR(__xludf.DUMMYFUNCTION("""COMPUTED_VALUE"""),"https://scholar.google.com.br/citations?hl=pt-BR&amp;view_op=list_hcore&amp;venue=kYDZP1q0-MAJ.2024")</f>
        <v>https://scholar.google.com.br/citations?hl=pt-BR&amp;view_op=list_hcore&amp;venue=kYDZP1q0-MAJ.2024</v>
      </c>
      <c r="F45" s="61"/>
      <c r="G45" s="57"/>
      <c r="I45" s="60" t="str">
        <f>IFERROR(__xludf.DUMMYFUNCTION("""COMPUTED_VALUE"""),"https://dblp.org/db/conf/wetice/index.html")</f>
        <v>https://dblp.org/db/conf/wetice/index.html</v>
      </c>
    </row>
    <row r="46">
      <c r="A46" s="68" t="str">
        <f>IFERROR(__xludf.DUMMYFUNCTION("""COMPUTED_VALUE"""),"Eventos da Área")</f>
        <v>Eventos da Área</v>
      </c>
      <c r="B46" s="54" t="str">
        <f>IFERROR(__xludf.DUMMYFUNCTION("""COMPUTED_VALUE"""),"RECOSOC")</f>
        <v>RECOSOC</v>
      </c>
      <c r="C46" s="55" t="str">
        <f>IFERROR(__xludf.DUMMYFUNCTION("""COMPUTED_VALUE"""),"International Symposium on Reconfigurable Communication-centric Systems-on-Chip")</f>
        <v>International Symposium on Reconfigurable Communication-centric Systems-on-Chip</v>
      </c>
      <c r="D46" s="71">
        <f>IFERROR(__xludf.DUMMYFUNCTION("""COMPUTED_VALUE"""),11.0)</f>
        <v>11</v>
      </c>
      <c r="E46" s="59" t="str">
        <f>IFERROR(__xludf.DUMMYFUNCTION("""COMPUTED_VALUE"""),"https://scholar.google.com/citations?hl=en&amp;view_op=list_hcore&amp;venue=z8sUAB07Au0J.2018")</f>
        <v>https://scholar.google.com/citations?hl=en&amp;view_op=list_hcore&amp;venue=z8sUAB07Au0J.2018</v>
      </c>
      <c r="F46" s="56"/>
      <c r="G46" s="57"/>
      <c r="I46" s="60" t="str">
        <f>IFERROR(__xludf.DUMMYFUNCTION("""COMPUTED_VALUE"""),"https://dblp.org/db/conf/recosoc/index.html")</f>
        <v>https://dblp.org/db/conf/recosoc/index.html</v>
      </c>
    </row>
    <row r="47">
      <c r="A47" s="68" t="str">
        <f>IFERROR(__xludf.DUMMYFUNCTION("""COMPUTED_VALUE"""),"Eventos da Área")</f>
        <v>Eventos da Área</v>
      </c>
      <c r="B47" s="54" t="str">
        <f>IFERROR(__xludf.DUMMYFUNCTION("""COMPUTED_VALUE"""),"SOCC")</f>
        <v>SOCC</v>
      </c>
      <c r="C47" s="55" t="str">
        <f>IFERROR(__xludf.DUMMYFUNCTION("""COMPUTED_VALUE"""),"IEEE International System-on-Chip Conference")</f>
        <v>IEEE International System-on-Chip Conference</v>
      </c>
      <c r="D47" s="71">
        <f>IFERROR(__xludf.DUMMYFUNCTION("""COMPUTED_VALUE"""),11.0)</f>
        <v>11</v>
      </c>
      <c r="E47" s="59" t="str">
        <f>IFERROR(__xludf.DUMMYFUNCTION("""COMPUTED_VALUE"""),"https://scholar.google.com/citations?hl=en&amp;view_op=list_hcore&amp;venue=-JLYUDNfBVUJ.2024")</f>
        <v>https://scholar.google.com/citations?hl=en&amp;view_op=list_hcore&amp;venue=-JLYUDNfBVUJ.2024</v>
      </c>
      <c r="F47" s="56"/>
      <c r="G47" s="57"/>
      <c r="I47" s="60" t="str">
        <f>IFERROR(__xludf.DUMMYFUNCTION("""COMPUTED_VALUE"""),"https://dblp.org/db/conf/socc/index.html")</f>
        <v>https://dblp.org/db/conf/socc/index.html</v>
      </c>
    </row>
    <row r="48">
      <c r="A48" s="68" t="str">
        <f>IFERROR(__xludf.DUMMYFUNCTION("""COMPUTED_VALUE"""),"Eventos da Área")</f>
        <v>Eventos da Área</v>
      </c>
      <c r="B48" s="54" t="str">
        <f>IFERROR(__xludf.DUMMYFUNCTION("""COMPUTED_VALUE"""),"PDCAT")</f>
        <v>PDCAT</v>
      </c>
      <c r="C48" s="57" t="str">
        <f>IFERROR(__xludf.DUMMYFUNCTION("""COMPUTED_VALUE"""),"International Conference on Parallel and Distributed Computing, Applications and Technologies")</f>
        <v>International Conference on Parallel and Distributed Computing, Applications and Technologies</v>
      </c>
      <c r="D48" s="54">
        <f>IFERROR(__xludf.DUMMYFUNCTION("""COMPUTED_VALUE"""),10.0)</f>
        <v>10</v>
      </c>
      <c r="E48" s="59" t="str">
        <f>IFERROR(__xludf.DUMMYFUNCTION("""COMPUTED_VALUE"""),"https://scholar.google.com.br/citations?hl=pt-BR&amp;view_op=list_hcore&amp;venue=BZK2l1JW2UsJ.2018")</f>
        <v>https://scholar.google.com.br/citations?hl=pt-BR&amp;view_op=list_hcore&amp;venue=BZK2l1JW2UsJ.2018</v>
      </c>
      <c r="F48" s="72"/>
      <c r="G48" s="57"/>
      <c r="I48" s="60" t="str">
        <f>IFERROR(__xludf.DUMMYFUNCTION("""COMPUTED_VALUE"""),"https://dblp.org/db/conf/pdcat/index.html")</f>
        <v>https://dblp.org/db/conf/pdcat/index.html</v>
      </c>
    </row>
    <row r="49">
      <c r="A49" s="68" t="str">
        <f>IFERROR(__xludf.DUMMYFUNCTION("""COMPUTED_VALUE"""),"Eventos da Área")</f>
        <v>Eventos da Área</v>
      </c>
      <c r="B49" s="54" t="str">
        <f>IFERROR(__xludf.DUMMYFUNCTION("""COMPUTED_VALUE"""),"DDECS")</f>
        <v>DDECS</v>
      </c>
      <c r="C49" s="55" t="str">
        <f>IFERROR(__xludf.DUMMYFUNCTION("""COMPUTED_VALUE"""),"IEEE International Symposium on Design and Diagnostics of Electronic Circuits and Systems")</f>
        <v>IEEE International Symposium on Design and Diagnostics of Electronic Circuits and Systems</v>
      </c>
      <c r="D49" s="54">
        <f>IFERROR(__xludf.DUMMYFUNCTION("""COMPUTED_VALUE"""),10.0)</f>
        <v>10</v>
      </c>
      <c r="E49" s="59" t="str">
        <f>IFERROR(__xludf.DUMMYFUNCTION("""COMPUTED_VALUE"""),"https://scholar.google.com.br/citations?hl=pt-BR&amp;view_op=list_hcore&amp;venue=7-_qFtHfavIJ.2024")</f>
        <v>https://scholar.google.com.br/citations?hl=pt-BR&amp;view_op=list_hcore&amp;venue=7-_qFtHfavIJ.2024</v>
      </c>
      <c r="F49" s="72"/>
      <c r="G49" s="57"/>
      <c r="I49" s="60" t="str">
        <f>IFERROR(__xludf.DUMMYFUNCTION("""COMPUTED_VALUE"""),"https://dblp.org/db/conf/ddecs/index.html")</f>
        <v>https://dblp.org/db/conf/ddecs/index.html</v>
      </c>
    </row>
    <row r="50">
      <c r="A50" s="68" t="str">
        <f>IFERROR(__xludf.DUMMYFUNCTION("""COMPUTED_VALUE"""),"Eventos da Área")</f>
        <v>Eventos da Área</v>
      </c>
      <c r="B50" s="54" t="str">
        <f>IFERROR(__xludf.DUMMYFUNCTION("""COMPUTED_VALUE"""),"MCSoC")</f>
        <v>MCSoC</v>
      </c>
      <c r="C50" s="55" t="str">
        <f>IFERROR(__xludf.DUMMYFUNCTION("""COMPUTED_VALUE"""),"International Symposium on Embedded Multicore/Many-core Systems-on-Chip")</f>
        <v>International Symposium on Embedded Multicore/Many-core Systems-on-Chip</v>
      </c>
      <c r="D50" s="54">
        <f>IFERROR(__xludf.DUMMYFUNCTION("""COMPUTED_VALUE"""),11.0)</f>
        <v>11</v>
      </c>
      <c r="E50" s="59" t="str">
        <f>IFERROR(__xludf.DUMMYFUNCTION("""COMPUTED_VALUE"""),"https://scholar.google.com/citations?hl=en&amp;view_op=list_hcore&amp;venue=cNDfl82p1FwJ.2024")</f>
        <v>https://scholar.google.com/citations?hl=en&amp;view_op=list_hcore&amp;venue=cNDfl82p1FwJ.2024</v>
      </c>
      <c r="F50" s="72"/>
      <c r="G50" s="57"/>
      <c r="I50" s="60" t="str">
        <f>IFERROR(__xludf.DUMMYFUNCTION("""COMPUTED_VALUE"""),"https://dblp.org/db/conf/mcsoc/index.html")</f>
        <v>https://dblp.org/db/conf/mcsoc/index.html</v>
      </c>
    </row>
    <row r="51">
      <c r="A51" s="68" t="str">
        <f>IFERROR(__xludf.DUMMYFUNCTION("""COMPUTED_VALUE"""),"Eventos da Área")</f>
        <v>Eventos da Área</v>
      </c>
      <c r="B51" s="54" t="str">
        <f>IFERROR(__xludf.DUMMYFUNCTION("""COMPUTED_VALUE"""),"SBESC")</f>
        <v>SBESC</v>
      </c>
      <c r="C51" s="55" t="str">
        <f>IFERROR(__xludf.DUMMYFUNCTION("""COMPUTED_VALUE"""),"Brazilian Symposium on Computing Systems Engineering")</f>
        <v>Brazilian Symposium on Computing Systems Engineering</v>
      </c>
      <c r="D51" s="54">
        <f>IFERROR(__xludf.DUMMYFUNCTION("""COMPUTED_VALUE"""),9.0)</f>
        <v>9</v>
      </c>
      <c r="E51" s="59" t="str">
        <f>IFERROR(__xludf.DUMMYFUNCTION("""COMPUTED_VALUE"""),"https://scholar.google.com/citations?hl=en&amp;view_op=list_hcore&amp;venue=EA9qTFRFeoUJ.2024")</f>
        <v>https://scholar.google.com/citations?hl=en&amp;view_op=list_hcore&amp;venue=EA9qTFRFeoUJ.2024</v>
      </c>
      <c r="F51" s="72"/>
      <c r="G51" s="57" t="str">
        <f>IFERROR(__xludf.DUMMYFUNCTION("""COMPUTED_VALUE"""),"Symposium on Computing Systems Engineering")</f>
        <v>Symposium on Computing Systems Engineering</v>
      </c>
      <c r="I51" s="60" t="str">
        <f>IFERROR(__xludf.DUMMYFUNCTION("""COMPUTED_VALUE"""),"https://dblp.org/db/conf/sbesc/index.html")</f>
        <v>https://dblp.org/db/conf/sbesc/index.html</v>
      </c>
    </row>
    <row r="52">
      <c r="A52" s="68" t="str">
        <f>IFERROR(__xludf.DUMMYFUNCTION("""COMPUTED_VALUE"""),"Eventos da Área")</f>
        <v>Eventos da Área</v>
      </c>
      <c r="B52" s="54" t="str">
        <f>IFERROR(__xludf.DUMMYFUNCTION("""COMPUTED_VALUE"""),"PP")</f>
        <v>PP</v>
      </c>
      <c r="C52" s="63" t="str">
        <f>IFERROR(__xludf.DUMMYFUNCTION("""COMPUTED_VALUE"""),"SIAM Conference on Parallel Processing for Scientific Computing")</f>
        <v>SIAM Conference on Parallel Processing for Scientific Computing</v>
      </c>
      <c r="D52" s="54"/>
      <c r="E52" s="59"/>
      <c r="F52" s="72"/>
      <c r="G52" s="57"/>
      <c r="I52" s="60" t="str">
        <f>IFERROR(__xludf.DUMMYFUNCTION("""COMPUTED_VALUE"""),"https://dblp.org/db/conf/ppsc/index.html")</f>
        <v>https://dblp.org/db/conf/ppsc/index.html</v>
      </c>
    </row>
    <row r="53">
      <c r="A53" s="68" t="str">
        <f>IFERROR(__xludf.DUMMYFUNCTION("""COMPUTED_VALUE"""),"Eventos da Área")</f>
        <v>Eventos da Área</v>
      </c>
      <c r="B53" s="54" t="str">
        <f>IFERROR(__xludf.DUMMYFUNCTION("""COMPUTED_VALUE"""),"PPAM")</f>
        <v>PPAM</v>
      </c>
      <c r="C53" s="55" t="str">
        <f>IFERROR(__xludf.DUMMYFUNCTION("""COMPUTED_VALUE"""),"International Conference on Parallel Processing and Applied Mathematics")</f>
        <v>International Conference on Parallel Processing and Applied Mathematics</v>
      </c>
      <c r="D53" s="54">
        <f>IFERROR(__xludf.DUMMYFUNCTION("""COMPUTED_VALUE"""),10.0)</f>
        <v>10</v>
      </c>
      <c r="E53" s="59" t="str">
        <f>IFERROR(__xludf.DUMMYFUNCTION("""COMPUTED_VALUE"""),"https://scholar.google.com.br/citations?hl=en&amp;view_op=list_hcore&amp;venue=7NHJcpYeTeYJ.2024")</f>
        <v>https://scholar.google.com.br/citations?hl=en&amp;view_op=list_hcore&amp;venue=7NHJcpYeTeYJ.2024</v>
      </c>
      <c r="F53" s="72"/>
      <c r="G53" s="57"/>
      <c r="I53" s="60" t="str">
        <f>IFERROR(__xludf.DUMMYFUNCTION("""COMPUTED_VALUE"""),"https://dblp.org/db/conf/ppam/index.html")</f>
        <v>https://dblp.org/db/conf/ppam/index.html</v>
      </c>
    </row>
    <row r="54">
      <c r="A54" s="68" t="str">
        <f>IFERROR(__xludf.DUMMYFUNCTION("""COMPUTED_VALUE"""),"Eventos da Área")</f>
        <v>Eventos da Área</v>
      </c>
      <c r="B54" s="54" t="str">
        <f>IFERROR(__xludf.DUMMYFUNCTION("""COMPUTED_VALUE"""),"ICCS")</f>
        <v>ICCS</v>
      </c>
      <c r="C54" s="55" t="str">
        <f>IFERROR(__xludf.DUMMYFUNCTION("""COMPUTED_VALUE"""),"International Conference on Computational Science")</f>
        <v>International Conference on Computational Science</v>
      </c>
      <c r="D54" s="54"/>
      <c r="E54" s="59"/>
      <c r="F54" s="72"/>
      <c r="G54" s="57"/>
      <c r="I54" s="60" t="str">
        <f>IFERROR(__xludf.DUMMYFUNCTION("""COMPUTED_VALUE"""),"https://dblp.org/db/conf/iccS/index.html")</f>
        <v>https://dblp.org/db/conf/iccS/index.html</v>
      </c>
    </row>
    <row r="55">
      <c r="A55" s="68" t="str">
        <f>IFERROR(__xludf.DUMMYFUNCTION("""COMPUTED_VALUE"""),"Eventos da Área")</f>
        <v>Eventos da Área</v>
      </c>
      <c r="B55" s="54" t="str">
        <f>IFERROR(__xludf.DUMMYFUNCTION("""COMPUTED_VALUE"""),"CSE")</f>
        <v>CSE</v>
      </c>
      <c r="C55" s="55" t="str">
        <f>IFERROR(__xludf.DUMMYFUNCTION("""COMPUTED_VALUE"""),"International Conference on Computational Science and Engineering")</f>
        <v>International Conference on Computational Science and Engineering</v>
      </c>
      <c r="D55" s="71">
        <f>IFERROR(__xludf.DUMMYFUNCTION("""COMPUTED_VALUE"""),13.0)</f>
        <v>13</v>
      </c>
      <c r="E55" s="59" t="str">
        <f>IFERROR(__xludf.DUMMYFUNCTION("""COMPUTED_VALUE"""),"https://scholar.google.com.br/citations?hl=en&amp;view_op=list_hcore&amp;venue=V3s-huB8LYEJ.2024")</f>
        <v>https://scholar.google.com.br/citations?hl=en&amp;view_op=list_hcore&amp;venue=V3s-huB8LYEJ.2024</v>
      </c>
      <c r="F55" s="72"/>
      <c r="G55" s="57"/>
      <c r="I55" s="60" t="str">
        <f>IFERROR(__xludf.DUMMYFUNCTION("""COMPUTED_VALUE"""),"https://dblp.org/db/conf/cse/index.html")</f>
        <v>https://dblp.org/db/conf/cse/index.html</v>
      </c>
    </row>
    <row r="56">
      <c r="A56" s="68" t="str">
        <f>IFERROR(__xludf.DUMMYFUNCTION("""COMPUTED_VALUE"""),"Eventos da Área")</f>
        <v>Eventos da Área</v>
      </c>
      <c r="B56" s="54" t="str">
        <f>IFERROR(__xludf.DUMMYFUNCTION("""COMPUTED_VALUE"""),"ISPDC")</f>
        <v>ISPDC</v>
      </c>
      <c r="C56" s="55" t="str">
        <f>IFERROR(__xludf.DUMMYFUNCTION("""COMPUTED_VALUE"""),"International Symposium on Parallel and Distributed Computing")</f>
        <v>International Symposium on Parallel and Distributed Computing</v>
      </c>
      <c r="D56" s="71">
        <f>IFERROR(__xludf.DUMMYFUNCTION("""COMPUTED_VALUE"""),12.0)</f>
        <v>12</v>
      </c>
      <c r="E56" s="59" t="str">
        <f>IFERROR(__xludf.DUMMYFUNCTION("""COMPUTED_VALUE"""),"https://scholar.google.com.br/citations?hl=en&amp;view_op=list_hcore&amp;venue=BZK2l1JW2UsJ.2024")</f>
        <v>https://scholar.google.com.br/citations?hl=en&amp;view_op=list_hcore&amp;venue=BZK2l1JW2UsJ.2024</v>
      </c>
      <c r="F56" s="72"/>
      <c r="G56" s="57"/>
      <c r="I56" s="60" t="str">
        <f>IFERROR(__xludf.DUMMYFUNCTION("""COMPUTED_VALUE"""),"https://dblp.org/db/conf/ispdc/index.html")</f>
        <v>https://dblp.org/db/conf/ispdc/index.html</v>
      </c>
    </row>
    <row r="57">
      <c r="A57" s="68" t="str">
        <f>IFERROR(__xludf.DUMMYFUNCTION("""COMPUTED_VALUE"""),"Eventos da Área")</f>
        <v>Eventos da Área</v>
      </c>
      <c r="B57" t="str">
        <f>IFERROR(__xludf.DUMMYFUNCTION("""COMPUTED_VALUE"""),"escolher")</f>
        <v>escolher</v>
      </c>
      <c r="E57" s="59"/>
      <c r="F57" s="73"/>
    </row>
    <row r="58">
      <c r="A58" s="68" t="str">
        <f>IFERROR(__xludf.DUMMYFUNCTION("""COMPUTED_VALUE"""),"Eventos da Área")</f>
        <v>Eventos da Área</v>
      </c>
      <c r="B58" t="str">
        <f>IFERROR(__xludf.DUMMYFUNCTION("""COMPUTED_VALUE"""),"escolher")</f>
        <v>escolher</v>
      </c>
      <c r="E58" s="59"/>
      <c r="F58" s="73"/>
    </row>
    <row r="59">
      <c r="A59" s="68" t="str">
        <f>IFERROR(__xludf.DUMMYFUNCTION("""COMPUTED_VALUE"""),"Eventos da Área")</f>
        <v>Eventos da Área</v>
      </c>
      <c r="B59" t="str">
        <f>IFERROR(__xludf.DUMMYFUNCTION("""COMPUTED_VALUE"""),"escolher")</f>
        <v>escolher</v>
      </c>
      <c r="E59" s="59"/>
      <c r="F59" s="73"/>
    </row>
    <row r="60">
      <c r="A60" s="68" t="str">
        <f>IFERROR(__xludf.DUMMYFUNCTION("""COMPUTED_VALUE"""),"Eventos da Área")</f>
        <v>Eventos da Área</v>
      </c>
      <c r="B60" t="str">
        <f>IFERROR(__xludf.DUMMYFUNCTION("""COMPUTED_VALUE"""),"escolher")</f>
        <v>escolher</v>
      </c>
      <c r="E60" s="59"/>
      <c r="F60" s="73"/>
    </row>
    <row r="61">
      <c r="A61" s="68" t="str">
        <f>IFERROR(__xludf.DUMMYFUNCTION("""COMPUTED_VALUE"""),"Eventos da Área")</f>
        <v>Eventos da Área</v>
      </c>
      <c r="B61" t="str">
        <f>IFERROR(__xludf.DUMMYFUNCTION("""COMPUTED_VALUE"""),"escolher")</f>
        <v>escolher</v>
      </c>
      <c r="E61" s="59"/>
      <c r="F61" s="73"/>
    </row>
    <row r="62">
      <c r="A62" s="68" t="str">
        <f>IFERROR(__xludf.DUMMYFUNCTION("""COMPUTED_VALUE"""),"Eventos da Área")</f>
        <v>Eventos da Área</v>
      </c>
      <c r="B62" t="str">
        <f>IFERROR(__xludf.DUMMYFUNCTION("""COMPUTED_VALUE"""),"escolher")</f>
        <v>escolher</v>
      </c>
      <c r="F62" s="73"/>
    </row>
    <row r="63">
      <c r="A63" s="68" t="str">
        <f>IFERROR(__xludf.DUMMYFUNCTION("""COMPUTED_VALUE"""),"Eventos da Área")</f>
        <v>Eventos da Área</v>
      </c>
      <c r="B63" t="str">
        <f>IFERROR(__xludf.DUMMYFUNCTION("""COMPUTED_VALUE"""),"escolher")</f>
        <v>escolher</v>
      </c>
      <c r="F63" s="73"/>
    </row>
    <row r="64">
      <c r="A64" s="68" t="str">
        <f>IFERROR(__xludf.DUMMYFUNCTION("""COMPUTED_VALUE"""),"Eventos da Área")</f>
        <v>Eventos da Área</v>
      </c>
      <c r="B64" t="str">
        <f>IFERROR(__xludf.DUMMYFUNCTION("""COMPUTED_VALUE"""),"escolher")</f>
        <v>escolher</v>
      </c>
      <c r="F64" s="73"/>
    </row>
    <row r="65">
      <c r="A65" s="68" t="str">
        <f>IFERROR(__xludf.DUMMYFUNCTION("""COMPUTED_VALUE"""),"Eventos da Área")</f>
        <v>Eventos da Área</v>
      </c>
      <c r="B65" t="str">
        <f>IFERROR(__xludf.DUMMYFUNCTION("""COMPUTED_VALUE"""),"escolher")</f>
        <v>escolher</v>
      </c>
      <c r="F65" s="73"/>
    </row>
    <row r="66">
      <c r="A66" s="68" t="str">
        <f>IFERROR(__xludf.DUMMYFUNCTION("""COMPUTED_VALUE"""),"Eventos da Área")</f>
        <v>Eventos da Área</v>
      </c>
      <c r="B66" t="str">
        <f>IFERROR(__xludf.DUMMYFUNCTION("""COMPUTED_VALUE"""),"escolher")</f>
        <v>escolher</v>
      </c>
      <c r="F66" s="73"/>
    </row>
    <row r="67">
      <c r="A67" s="68" t="str">
        <f>IFERROR(__xludf.DUMMYFUNCTION("""COMPUTED_VALUE"""),"Eventos da Área")</f>
        <v>Eventos da Área</v>
      </c>
      <c r="B67" t="str">
        <f>IFERROR(__xludf.DUMMYFUNCTION("""COMPUTED_VALUE"""),"escolher")</f>
        <v>escolher</v>
      </c>
      <c r="F67" s="73"/>
    </row>
    <row r="68">
      <c r="A68" s="68" t="str">
        <f>IFERROR(__xludf.DUMMYFUNCTION("""COMPUTED_VALUE"""),"Eventos da Área")</f>
        <v>Eventos da Área</v>
      </c>
      <c r="B68" t="str">
        <f>IFERROR(__xludf.DUMMYFUNCTION("""COMPUTED_VALUE"""),"escolher")</f>
        <v>escolher</v>
      </c>
      <c r="F68" s="73"/>
    </row>
    <row r="69">
      <c r="A69" s="68" t="str">
        <f>IFERROR(__xludf.DUMMYFUNCTION("""COMPUTED_VALUE"""),"Eventos da Área")</f>
        <v>Eventos da Área</v>
      </c>
      <c r="B69" t="str">
        <f>IFERROR(__xludf.DUMMYFUNCTION("""COMPUTED_VALUE"""),"escolher")</f>
        <v>escolher</v>
      </c>
      <c r="F69" s="73"/>
    </row>
    <row r="70">
      <c r="A70" s="68" t="str">
        <f>IFERROR(__xludf.DUMMYFUNCTION("""COMPUTED_VALUE"""),"Eventos da Área")</f>
        <v>Eventos da Área</v>
      </c>
      <c r="B70" t="str">
        <f>IFERROR(__xludf.DUMMYFUNCTION("""COMPUTED_VALUE"""),"escolher")</f>
        <v>escolher</v>
      </c>
      <c r="F70" s="73"/>
    </row>
    <row r="71">
      <c r="A71" s="68" t="str">
        <f>IFERROR(__xludf.DUMMYFUNCTION("""COMPUTED_VALUE"""),"Eventos da Área")</f>
        <v>Eventos da Área</v>
      </c>
      <c r="B71" t="str">
        <f>IFERROR(__xludf.DUMMYFUNCTION("""COMPUTED_VALUE"""),"escolher")</f>
        <v>escolher</v>
      </c>
      <c r="F71" s="73"/>
    </row>
    <row r="72">
      <c r="A72" s="68" t="str">
        <f>IFERROR(__xludf.DUMMYFUNCTION("""COMPUTED_VALUE"""),"Eventos da Área")</f>
        <v>Eventos da Área</v>
      </c>
      <c r="B72" t="str">
        <f>IFERROR(__xludf.DUMMYFUNCTION("""COMPUTED_VALUE"""),"escolher")</f>
        <v>escolher</v>
      </c>
      <c r="F72" s="73"/>
    </row>
    <row r="73">
      <c r="A73" s="68" t="str">
        <f>IFERROR(__xludf.DUMMYFUNCTION("""COMPUTED_VALUE"""),"Eventos da Área")</f>
        <v>Eventos da Área</v>
      </c>
      <c r="B73" t="str">
        <f>IFERROR(__xludf.DUMMYFUNCTION("""COMPUTED_VALUE"""),"escolher")</f>
        <v>escolher</v>
      </c>
      <c r="F73" s="73"/>
    </row>
    <row r="74">
      <c r="A74" s="68" t="str">
        <f>IFERROR(__xludf.DUMMYFUNCTION("""COMPUTED_VALUE"""),"Eventos da Área")</f>
        <v>Eventos da Área</v>
      </c>
      <c r="B74" t="str">
        <f>IFERROR(__xludf.DUMMYFUNCTION("""COMPUTED_VALUE"""),"escolher")</f>
        <v>escolher</v>
      </c>
      <c r="F74" s="73"/>
    </row>
    <row r="75">
      <c r="A75" s="68" t="str">
        <f>IFERROR(__xludf.DUMMYFUNCTION("""COMPUTED_VALUE"""),"Eventos da Área")</f>
        <v>Eventos da Área</v>
      </c>
      <c r="B75" t="str">
        <f>IFERROR(__xludf.DUMMYFUNCTION("""COMPUTED_VALUE"""),"escolher")</f>
        <v>escolher</v>
      </c>
      <c r="F75" s="73"/>
    </row>
    <row r="76">
      <c r="A76" s="68" t="str">
        <f>IFERROR(__xludf.DUMMYFUNCTION("""COMPUTED_VALUE"""),"Eventos da Área")</f>
        <v>Eventos da Área</v>
      </c>
      <c r="B76" t="str">
        <f>IFERROR(__xludf.DUMMYFUNCTION("""COMPUTED_VALUE"""),"escolher")</f>
        <v>escolher</v>
      </c>
      <c r="F76" s="73"/>
    </row>
    <row r="77">
      <c r="A77" s="68" t="str">
        <f>IFERROR(__xludf.DUMMYFUNCTION("""COMPUTED_VALUE"""),"Eventos da Área")</f>
        <v>Eventos da Área</v>
      </c>
      <c r="B77" t="str">
        <f>IFERROR(__xludf.DUMMYFUNCTION("""COMPUTED_VALUE"""),"escolher")</f>
        <v>escolher</v>
      </c>
      <c r="F77" s="73"/>
    </row>
    <row r="78">
      <c r="A78" s="68" t="str">
        <f>IFERROR(__xludf.DUMMYFUNCTION("""COMPUTED_VALUE"""),"Eventos da Área")</f>
        <v>Eventos da Área</v>
      </c>
      <c r="B78" t="str">
        <f>IFERROR(__xludf.DUMMYFUNCTION("""COMPUTED_VALUE"""),"escolher")</f>
        <v>escolher</v>
      </c>
      <c r="F78" s="73"/>
    </row>
    <row r="79">
      <c r="A79" s="68" t="str">
        <f>IFERROR(__xludf.DUMMYFUNCTION("""COMPUTED_VALUE"""),"Eventos da Área")</f>
        <v>Eventos da Área</v>
      </c>
      <c r="B79" t="str">
        <f>IFERROR(__xludf.DUMMYFUNCTION("""COMPUTED_VALUE"""),"escolher")</f>
        <v>escolher</v>
      </c>
      <c r="F79" s="73"/>
    </row>
    <row r="80">
      <c r="A80" s="68" t="str">
        <f>IFERROR(__xludf.DUMMYFUNCTION("""COMPUTED_VALUE"""),"Eventos da Área")</f>
        <v>Eventos da Área</v>
      </c>
      <c r="B80" t="str">
        <f>IFERROR(__xludf.DUMMYFUNCTION("""COMPUTED_VALUE"""),"escolher")</f>
        <v>escolher</v>
      </c>
      <c r="F80" s="73"/>
    </row>
    <row r="81">
      <c r="A81" s="68" t="str">
        <f>IFERROR(__xludf.DUMMYFUNCTION("""COMPUTED_VALUE"""),"Eventos da Área")</f>
        <v>Eventos da Área</v>
      </c>
      <c r="B81" t="str">
        <f>IFERROR(__xludf.DUMMYFUNCTION("""COMPUTED_VALUE"""),"escolher")</f>
        <v>escolher</v>
      </c>
      <c r="F81" s="73"/>
    </row>
    <row r="82">
      <c r="A82" s="68" t="str">
        <f>IFERROR(__xludf.DUMMYFUNCTION("""COMPUTED_VALUE"""),"Eventos da Área")</f>
        <v>Eventos da Área</v>
      </c>
      <c r="B82" t="str">
        <f>IFERROR(__xludf.DUMMYFUNCTION("""COMPUTED_VALUE"""),"escolher")</f>
        <v>escolher</v>
      </c>
      <c r="F82" s="73"/>
    </row>
    <row r="83">
      <c r="A83" s="68" t="str">
        <f>IFERROR(__xludf.DUMMYFUNCTION("""COMPUTED_VALUE"""),"Eventos da Área")</f>
        <v>Eventos da Área</v>
      </c>
      <c r="B83" t="str">
        <f>IFERROR(__xludf.DUMMYFUNCTION("""COMPUTED_VALUE"""),"escolher")</f>
        <v>escolher</v>
      </c>
      <c r="F83" s="73"/>
    </row>
    <row r="84">
      <c r="A84" s="68" t="str">
        <f>IFERROR(__xludf.DUMMYFUNCTION("""COMPUTED_VALUE"""),"Eventos da Área")</f>
        <v>Eventos da Área</v>
      </c>
      <c r="B84" t="str">
        <f>IFERROR(__xludf.DUMMYFUNCTION("""COMPUTED_VALUE"""),"escolher")</f>
        <v>escolher</v>
      </c>
      <c r="F84" s="73"/>
    </row>
    <row r="85">
      <c r="A85" s="68" t="str">
        <f>IFERROR(__xludf.DUMMYFUNCTION("""COMPUTED_VALUE"""),"Eventos da Área")</f>
        <v>Eventos da Área</v>
      </c>
      <c r="B85" t="str">
        <f>IFERROR(__xludf.DUMMYFUNCTION("""COMPUTED_VALUE"""),"escolher")</f>
        <v>escolher</v>
      </c>
      <c r="F85" s="73"/>
    </row>
    <row r="86">
      <c r="A86" s="68" t="str">
        <f>IFERROR(__xludf.DUMMYFUNCTION("""COMPUTED_VALUE"""),"Eventos da Área")</f>
        <v>Eventos da Área</v>
      </c>
      <c r="B86" t="str">
        <f>IFERROR(__xludf.DUMMYFUNCTION("""COMPUTED_VALUE"""),"escolher")</f>
        <v>escolher</v>
      </c>
      <c r="F86" s="73"/>
    </row>
    <row r="87">
      <c r="A87" s="68" t="str">
        <f>IFERROR(__xludf.DUMMYFUNCTION("""COMPUTED_VALUE"""),"Eventos da Área")</f>
        <v>Eventos da Área</v>
      </c>
      <c r="B87" t="str">
        <f>IFERROR(__xludf.DUMMYFUNCTION("""COMPUTED_VALUE"""),"escolher")</f>
        <v>escolher</v>
      </c>
      <c r="F87" s="73"/>
    </row>
    <row r="88">
      <c r="A88" s="68" t="str">
        <f>IFERROR(__xludf.DUMMYFUNCTION("""COMPUTED_VALUE"""),"Eventos da Área")</f>
        <v>Eventos da Área</v>
      </c>
      <c r="B88" t="str">
        <f>IFERROR(__xludf.DUMMYFUNCTION("""COMPUTED_VALUE"""),"escolher")</f>
        <v>escolher</v>
      </c>
      <c r="F88" s="73"/>
    </row>
    <row r="89">
      <c r="A89" s="68" t="str">
        <f>IFERROR(__xludf.DUMMYFUNCTION("""COMPUTED_VALUE"""),"Eventos da Área")</f>
        <v>Eventos da Área</v>
      </c>
      <c r="B89" t="str">
        <f>IFERROR(__xludf.DUMMYFUNCTION("""COMPUTED_VALUE"""),"escolher")</f>
        <v>escolher</v>
      </c>
      <c r="F89" s="73"/>
    </row>
    <row r="90">
      <c r="A90" s="68" t="str">
        <f>IFERROR(__xludf.DUMMYFUNCTION("""COMPUTED_VALUE"""),"Eventos da Área")</f>
        <v>Eventos da Área</v>
      </c>
      <c r="B90" t="str">
        <f>IFERROR(__xludf.DUMMYFUNCTION("""COMPUTED_VALUE"""),"escolher")</f>
        <v>escolher</v>
      </c>
      <c r="F90" s="73"/>
    </row>
    <row r="91">
      <c r="A91" s="68" t="str">
        <f>IFERROR(__xludf.DUMMYFUNCTION("""COMPUTED_VALUE"""),"Eventos da Área")</f>
        <v>Eventos da Área</v>
      </c>
      <c r="F91" s="73"/>
    </row>
    <row r="92">
      <c r="A92" s="68" t="str">
        <f>IFERROR(__xludf.DUMMYFUNCTION("""COMPUTED_VALUE"""),"Eventos da Área")</f>
        <v>Eventos da Área</v>
      </c>
      <c r="F92" s="73"/>
    </row>
    <row r="93">
      <c r="A93" s="68" t="str">
        <f>IFERROR(__xludf.DUMMYFUNCTION("""COMPUTED_VALUE"""),"Eventos da Área")</f>
        <v>Eventos da Área</v>
      </c>
      <c r="F93" s="73"/>
    </row>
    <row r="94">
      <c r="A94" s="68" t="str">
        <f>IFERROR(__xludf.DUMMYFUNCTION("""COMPUTED_VALUE"""),"Eventos da Área")</f>
        <v>Eventos da Área</v>
      </c>
      <c r="F94" s="73"/>
    </row>
    <row r="95">
      <c r="A95" s="68" t="str">
        <f>IFERROR(__xludf.DUMMYFUNCTION("""COMPUTED_VALUE"""),"Eventos da Área")</f>
        <v>Eventos da Área</v>
      </c>
      <c r="F95" s="73"/>
    </row>
    <row r="96">
      <c r="A96" s="68" t="str">
        <f>IFERROR(__xludf.DUMMYFUNCTION("""COMPUTED_VALUE"""),"Eventos da Área")</f>
        <v>Eventos da Área</v>
      </c>
      <c r="F96" s="73"/>
    </row>
    <row r="97">
      <c r="A97" s="68" t="str">
        <f>IFERROR(__xludf.DUMMYFUNCTION("""COMPUTED_VALUE"""),"Eventos da Área")</f>
        <v>Eventos da Área</v>
      </c>
      <c r="F97" s="73"/>
    </row>
    <row r="98">
      <c r="A98" s="68" t="str">
        <f>IFERROR(__xludf.DUMMYFUNCTION("""COMPUTED_VALUE"""),"Eventos da Área")</f>
        <v>Eventos da Área</v>
      </c>
      <c r="F98" s="73"/>
    </row>
    <row r="99">
      <c r="A99" s="68" t="str">
        <f>IFERROR(__xludf.DUMMYFUNCTION("""COMPUTED_VALUE"""),"Eventos da Área")</f>
        <v>Eventos da Área</v>
      </c>
      <c r="F99" s="73"/>
    </row>
    <row r="100">
      <c r="A100" s="68"/>
      <c r="F100" s="73"/>
    </row>
    <row r="101">
      <c r="F101" s="73"/>
    </row>
    <row r="102">
      <c r="F102" s="73"/>
    </row>
    <row r="103">
      <c r="F103" s="73"/>
    </row>
    <row r="104">
      <c r="F104" s="73"/>
    </row>
    <row r="105">
      <c r="F105" s="73"/>
    </row>
    <row r="106">
      <c r="F106" s="73"/>
    </row>
    <row r="107">
      <c r="F107" s="73"/>
    </row>
    <row r="108">
      <c r="F108" s="73"/>
    </row>
    <row r="109">
      <c r="F109" s="73"/>
    </row>
    <row r="110">
      <c r="F110" s="73"/>
    </row>
    <row r="111">
      <c r="F111" s="73"/>
    </row>
    <row r="112">
      <c r="F112" s="73"/>
    </row>
    <row r="113">
      <c r="F113" s="73"/>
    </row>
    <row r="114">
      <c r="F114" s="73"/>
    </row>
    <row r="115">
      <c r="F115" s="73"/>
    </row>
    <row r="116">
      <c r="F116" s="73"/>
    </row>
    <row r="117">
      <c r="F117" s="73"/>
    </row>
    <row r="118">
      <c r="F118" s="73"/>
    </row>
    <row r="119">
      <c r="F119" s="73"/>
    </row>
    <row r="120">
      <c r="F120" s="73"/>
    </row>
    <row r="121">
      <c r="F121" s="73"/>
    </row>
    <row r="122">
      <c r="F122" s="73"/>
    </row>
    <row r="123">
      <c r="F123" s="73"/>
    </row>
    <row r="124">
      <c r="F124" s="73"/>
    </row>
    <row r="125">
      <c r="F125" s="73"/>
    </row>
    <row r="126">
      <c r="F126" s="73"/>
    </row>
    <row r="127">
      <c r="F127" s="73"/>
    </row>
    <row r="128">
      <c r="F128" s="73"/>
    </row>
    <row r="129">
      <c r="F129" s="73"/>
    </row>
    <row r="130">
      <c r="F130" s="73"/>
    </row>
    <row r="131">
      <c r="F131" s="73"/>
    </row>
    <row r="132">
      <c r="F132" s="73"/>
    </row>
    <row r="133">
      <c r="F133" s="73"/>
    </row>
    <row r="134">
      <c r="F134" s="73"/>
    </row>
    <row r="135">
      <c r="F135" s="73"/>
    </row>
    <row r="136">
      <c r="F136" s="73"/>
    </row>
    <row r="137">
      <c r="F137" s="73"/>
    </row>
    <row r="138">
      <c r="F138" s="73"/>
    </row>
    <row r="139">
      <c r="F139" s="73"/>
    </row>
    <row r="140">
      <c r="F140" s="73"/>
    </row>
    <row r="141">
      <c r="F141" s="73"/>
    </row>
    <row r="142">
      <c r="F142" s="73"/>
    </row>
    <row r="143">
      <c r="F143" s="73"/>
    </row>
    <row r="144">
      <c r="F144" s="73"/>
    </row>
    <row r="145">
      <c r="F145" s="73"/>
    </row>
    <row r="146">
      <c r="F146" s="73"/>
    </row>
    <row r="147">
      <c r="F147" s="73"/>
    </row>
    <row r="148">
      <c r="F148" s="73"/>
    </row>
    <row r="149">
      <c r="F149" s="73"/>
    </row>
    <row r="150">
      <c r="F150" s="73"/>
    </row>
    <row r="151">
      <c r="F151" s="73"/>
    </row>
    <row r="152">
      <c r="F152" s="73"/>
    </row>
    <row r="153">
      <c r="F153" s="73"/>
    </row>
    <row r="154">
      <c r="F154" s="73"/>
    </row>
    <row r="155">
      <c r="F155" s="73"/>
    </row>
    <row r="156">
      <c r="F156" s="73"/>
    </row>
    <row r="157">
      <c r="F157" s="73"/>
    </row>
    <row r="158">
      <c r="F158" s="73"/>
    </row>
    <row r="159">
      <c r="F159" s="73"/>
    </row>
    <row r="160">
      <c r="F160" s="73"/>
    </row>
    <row r="161">
      <c r="F161" s="73"/>
    </row>
    <row r="162">
      <c r="F162" s="73"/>
    </row>
    <row r="163">
      <c r="F163" s="73"/>
    </row>
    <row r="164">
      <c r="F164" s="73"/>
    </row>
    <row r="165">
      <c r="F165" s="73"/>
    </row>
    <row r="166">
      <c r="F166" s="73"/>
    </row>
    <row r="167">
      <c r="F167" s="73"/>
    </row>
    <row r="168">
      <c r="F168" s="73"/>
    </row>
    <row r="169">
      <c r="F169" s="73"/>
    </row>
    <row r="170">
      <c r="F170" s="73"/>
    </row>
    <row r="171">
      <c r="F171" s="73"/>
    </row>
    <row r="172">
      <c r="F172" s="73"/>
    </row>
    <row r="173">
      <c r="F173" s="73"/>
    </row>
    <row r="174">
      <c r="F174" s="73"/>
    </row>
    <row r="175">
      <c r="F175" s="73"/>
    </row>
    <row r="176">
      <c r="F176" s="73"/>
    </row>
    <row r="177">
      <c r="F177" s="73"/>
    </row>
    <row r="178">
      <c r="F178" s="73"/>
    </row>
    <row r="179">
      <c r="F179" s="73"/>
    </row>
    <row r="180">
      <c r="F180" s="73"/>
    </row>
    <row r="181">
      <c r="F181" s="73"/>
    </row>
    <row r="182">
      <c r="F182" s="73"/>
    </row>
    <row r="183">
      <c r="F183" s="73"/>
    </row>
    <row r="184">
      <c r="F184" s="73"/>
    </row>
    <row r="185">
      <c r="F185" s="73"/>
    </row>
    <row r="186">
      <c r="F186" s="73"/>
    </row>
    <row r="187">
      <c r="F187" s="73"/>
    </row>
    <row r="188">
      <c r="F188" s="73"/>
    </row>
    <row r="189">
      <c r="F189" s="73"/>
    </row>
    <row r="190">
      <c r="F190" s="73"/>
    </row>
    <row r="191">
      <c r="F191" s="73"/>
    </row>
    <row r="192">
      <c r="F192" s="73"/>
    </row>
    <row r="193">
      <c r="F193" s="73"/>
    </row>
    <row r="194">
      <c r="F194" s="73"/>
    </row>
    <row r="195">
      <c r="F195" s="73"/>
    </row>
    <row r="196">
      <c r="F196" s="73"/>
    </row>
    <row r="197">
      <c r="F197" s="73"/>
    </row>
    <row r="198">
      <c r="F198" s="73"/>
    </row>
    <row r="199">
      <c r="F199" s="73"/>
    </row>
    <row r="200">
      <c r="F200" s="73"/>
    </row>
    <row r="201">
      <c r="F201" s="73"/>
    </row>
    <row r="202">
      <c r="F202" s="73"/>
    </row>
    <row r="203">
      <c r="F203" s="73"/>
    </row>
    <row r="204">
      <c r="F204" s="73"/>
    </row>
    <row r="205">
      <c r="F205" s="73"/>
    </row>
    <row r="206">
      <c r="F206" s="73"/>
    </row>
    <row r="207">
      <c r="F207" s="73"/>
    </row>
    <row r="208">
      <c r="F208" s="73"/>
    </row>
    <row r="209">
      <c r="F209" s="73"/>
    </row>
    <row r="210">
      <c r="F210" s="73"/>
    </row>
    <row r="211">
      <c r="F211" s="73"/>
    </row>
    <row r="212">
      <c r="F212" s="73"/>
    </row>
    <row r="213">
      <c r="F213" s="73"/>
    </row>
    <row r="214">
      <c r="F214" s="73"/>
    </row>
    <row r="215">
      <c r="F215" s="73"/>
    </row>
    <row r="216">
      <c r="F216" s="73"/>
    </row>
    <row r="217">
      <c r="F217" s="73"/>
    </row>
    <row r="218">
      <c r="F218" s="73"/>
    </row>
    <row r="219">
      <c r="F219" s="73"/>
    </row>
    <row r="220">
      <c r="F220" s="73"/>
    </row>
    <row r="221">
      <c r="F221" s="73"/>
    </row>
    <row r="222">
      <c r="F222" s="73"/>
    </row>
    <row r="223">
      <c r="F223" s="73"/>
    </row>
    <row r="224">
      <c r="F224" s="73"/>
    </row>
    <row r="225">
      <c r="F225" s="73"/>
    </row>
    <row r="226">
      <c r="F226" s="73"/>
    </row>
    <row r="227">
      <c r="F227" s="73"/>
    </row>
    <row r="228">
      <c r="F228" s="73"/>
    </row>
    <row r="229">
      <c r="F229" s="73"/>
    </row>
    <row r="230">
      <c r="F230" s="73"/>
    </row>
    <row r="231">
      <c r="F231" s="73"/>
    </row>
    <row r="232">
      <c r="F232" s="73"/>
    </row>
    <row r="233">
      <c r="F233" s="73"/>
    </row>
    <row r="234">
      <c r="F234" s="73"/>
    </row>
    <row r="235">
      <c r="F235" s="73"/>
    </row>
    <row r="236">
      <c r="F236" s="73"/>
    </row>
    <row r="237">
      <c r="F237" s="73"/>
    </row>
    <row r="238">
      <c r="F238" s="73"/>
    </row>
    <row r="239">
      <c r="F239" s="73"/>
    </row>
    <row r="240">
      <c r="F240" s="73"/>
    </row>
    <row r="241">
      <c r="F241" s="73"/>
    </row>
    <row r="242">
      <c r="F242" s="73"/>
    </row>
    <row r="243">
      <c r="F243" s="73"/>
    </row>
    <row r="244">
      <c r="F244" s="73"/>
    </row>
    <row r="245">
      <c r="F245" s="73"/>
    </row>
    <row r="246">
      <c r="F246" s="73"/>
    </row>
    <row r="247">
      <c r="F247" s="73"/>
    </row>
    <row r="248">
      <c r="F248" s="73"/>
    </row>
    <row r="249">
      <c r="F249" s="73"/>
    </row>
    <row r="250">
      <c r="F250" s="73"/>
    </row>
    <row r="251">
      <c r="F251" s="73"/>
    </row>
    <row r="252">
      <c r="F252" s="73"/>
    </row>
    <row r="253">
      <c r="F253" s="73"/>
    </row>
    <row r="254">
      <c r="F254" s="73"/>
    </row>
    <row r="255">
      <c r="F255" s="73"/>
    </row>
    <row r="256">
      <c r="F256" s="73"/>
    </row>
    <row r="257">
      <c r="F257" s="73"/>
    </row>
    <row r="258">
      <c r="F258" s="73"/>
    </row>
    <row r="259">
      <c r="F259" s="73"/>
    </row>
    <row r="260">
      <c r="F260" s="73"/>
    </row>
    <row r="261">
      <c r="F261" s="73"/>
    </row>
    <row r="262">
      <c r="F262" s="73"/>
    </row>
    <row r="263">
      <c r="F263" s="73"/>
    </row>
    <row r="264">
      <c r="F264" s="73"/>
    </row>
    <row r="265">
      <c r="F265" s="73"/>
    </row>
    <row r="266">
      <c r="F266" s="73"/>
    </row>
    <row r="267">
      <c r="F267" s="73"/>
    </row>
    <row r="268">
      <c r="F268" s="73"/>
    </row>
    <row r="269">
      <c r="F269" s="73"/>
    </row>
    <row r="270">
      <c r="F270" s="73"/>
    </row>
    <row r="271">
      <c r="F271" s="73"/>
    </row>
    <row r="272">
      <c r="F272" s="73"/>
    </row>
    <row r="273">
      <c r="F273" s="73"/>
    </row>
    <row r="274">
      <c r="F274" s="73"/>
    </row>
    <row r="275">
      <c r="F275" s="73"/>
    </row>
    <row r="276">
      <c r="F276" s="73"/>
    </row>
    <row r="277">
      <c r="F277" s="73"/>
    </row>
    <row r="278">
      <c r="F278" s="73"/>
    </row>
    <row r="279">
      <c r="F279" s="73"/>
    </row>
    <row r="280">
      <c r="F280" s="73"/>
    </row>
    <row r="281">
      <c r="F281" s="73"/>
    </row>
    <row r="282">
      <c r="F282" s="73"/>
    </row>
    <row r="283">
      <c r="F283" s="73"/>
    </row>
    <row r="284">
      <c r="F284" s="73"/>
    </row>
    <row r="285">
      <c r="F285" s="73"/>
    </row>
    <row r="286">
      <c r="F286" s="73"/>
    </row>
    <row r="287">
      <c r="F287" s="73"/>
    </row>
    <row r="288">
      <c r="F288" s="73"/>
    </row>
    <row r="289">
      <c r="F289" s="73"/>
    </row>
    <row r="290">
      <c r="F290" s="73"/>
    </row>
    <row r="291">
      <c r="F291" s="73"/>
    </row>
    <row r="292">
      <c r="F292" s="73"/>
    </row>
    <row r="293">
      <c r="F293" s="73"/>
    </row>
    <row r="294">
      <c r="F294" s="73"/>
    </row>
    <row r="295">
      <c r="F295" s="73"/>
    </row>
    <row r="296">
      <c r="F296" s="73"/>
    </row>
    <row r="297">
      <c r="F297" s="73"/>
    </row>
    <row r="298">
      <c r="F298" s="73"/>
    </row>
    <row r="299">
      <c r="F299" s="73"/>
    </row>
    <row r="300">
      <c r="F300" s="73"/>
    </row>
    <row r="301">
      <c r="F301" s="73"/>
    </row>
    <row r="302">
      <c r="F302" s="73"/>
    </row>
    <row r="303">
      <c r="F303" s="73"/>
    </row>
    <row r="304">
      <c r="F304" s="73"/>
    </row>
    <row r="305">
      <c r="F305" s="73"/>
    </row>
    <row r="306">
      <c r="F306" s="73"/>
    </row>
    <row r="307">
      <c r="F307" s="73"/>
    </row>
    <row r="308">
      <c r="F308" s="73"/>
    </row>
    <row r="309">
      <c r="F309" s="73"/>
    </row>
    <row r="310">
      <c r="F310" s="73"/>
    </row>
    <row r="311">
      <c r="F311" s="73"/>
    </row>
    <row r="312">
      <c r="F312" s="73"/>
    </row>
    <row r="313">
      <c r="F313" s="73"/>
    </row>
    <row r="314">
      <c r="F314" s="73"/>
    </row>
    <row r="315">
      <c r="F315" s="73"/>
    </row>
    <row r="316">
      <c r="F316" s="73"/>
    </row>
    <row r="317">
      <c r="F317" s="73"/>
    </row>
    <row r="318">
      <c r="F318" s="73"/>
    </row>
    <row r="319">
      <c r="F319" s="73"/>
    </row>
    <row r="320">
      <c r="F320" s="73"/>
    </row>
    <row r="321">
      <c r="F321" s="73"/>
    </row>
    <row r="322">
      <c r="F322" s="73"/>
    </row>
    <row r="323">
      <c r="F323" s="73"/>
    </row>
    <row r="324">
      <c r="F324" s="73"/>
    </row>
    <row r="325">
      <c r="F325" s="73"/>
    </row>
    <row r="326">
      <c r="F326" s="73"/>
    </row>
    <row r="327">
      <c r="F327" s="73"/>
    </row>
    <row r="328">
      <c r="F328" s="73"/>
    </row>
    <row r="329">
      <c r="F329" s="73"/>
    </row>
    <row r="330">
      <c r="F330" s="73"/>
    </row>
    <row r="331">
      <c r="F331" s="73"/>
    </row>
    <row r="332">
      <c r="F332" s="73"/>
    </row>
    <row r="333">
      <c r="F333" s="73"/>
    </row>
    <row r="334">
      <c r="F334" s="73"/>
    </row>
    <row r="335">
      <c r="F335" s="73"/>
    </row>
    <row r="336">
      <c r="F336" s="73"/>
    </row>
    <row r="337">
      <c r="F337" s="73"/>
    </row>
    <row r="338">
      <c r="F338" s="73"/>
    </row>
    <row r="339">
      <c r="F339" s="73"/>
    </row>
    <row r="340">
      <c r="F340" s="73"/>
    </row>
    <row r="341">
      <c r="F341" s="73"/>
    </row>
    <row r="342">
      <c r="F342" s="73"/>
    </row>
    <row r="343">
      <c r="F343" s="73"/>
    </row>
    <row r="344">
      <c r="F344" s="73"/>
    </row>
    <row r="345">
      <c r="F345" s="73"/>
    </row>
    <row r="346">
      <c r="F346" s="73"/>
    </row>
    <row r="347">
      <c r="F347" s="73"/>
    </row>
    <row r="348">
      <c r="F348" s="73"/>
    </row>
    <row r="349">
      <c r="F349" s="73"/>
    </row>
    <row r="350">
      <c r="F350" s="73"/>
    </row>
    <row r="351">
      <c r="F351" s="73"/>
    </row>
    <row r="352">
      <c r="F352" s="73"/>
    </row>
    <row r="353">
      <c r="F353" s="73"/>
    </row>
    <row r="354">
      <c r="F354" s="73"/>
    </row>
    <row r="355">
      <c r="F355" s="73"/>
    </row>
    <row r="356">
      <c r="F356" s="73"/>
    </row>
    <row r="357">
      <c r="F357" s="73"/>
    </row>
    <row r="358">
      <c r="F358" s="73"/>
    </row>
    <row r="359">
      <c r="F359" s="73"/>
    </row>
    <row r="360">
      <c r="F360" s="73"/>
    </row>
    <row r="361">
      <c r="F361" s="73"/>
    </row>
    <row r="362">
      <c r="F362" s="73"/>
    </row>
    <row r="363">
      <c r="F363" s="73"/>
    </row>
    <row r="364">
      <c r="F364" s="73"/>
    </row>
    <row r="365">
      <c r="F365" s="73"/>
    </row>
    <row r="366">
      <c r="F366" s="73"/>
    </row>
    <row r="367">
      <c r="F367" s="73"/>
    </row>
    <row r="368">
      <c r="F368" s="73"/>
    </row>
    <row r="369">
      <c r="F369" s="73"/>
    </row>
    <row r="370">
      <c r="F370" s="73"/>
    </row>
    <row r="371">
      <c r="F371" s="73"/>
    </row>
    <row r="372">
      <c r="F372" s="73"/>
    </row>
    <row r="373">
      <c r="F373" s="73"/>
    </row>
    <row r="374">
      <c r="F374" s="73"/>
    </row>
    <row r="375">
      <c r="F375" s="73"/>
    </row>
    <row r="376">
      <c r="F376" s="73"/>
    </row>
    <row r="377">
      <c r="F377" s="73"/>
    </row>
    <row r="378">
      <c r="F378" s="73"/>
    </row>
    <row r="379">
      <c r="F379" s="73"/>
    </row>
    <row r="380">
      <c r="F380" s="73"/>
    </row>
    <row r="381">
      <c r="F381" s="73"/>
    </row>
    <row r="382">
      <c r="F382" s="73"/>
    </row>
    <row r="383">
      <c r="F383" s="73"/>
    </row>
    <row r="384">
      <c r="F384" s="73"/>
    </row>
    <row r="385">
      <c r="F385" s="73"/>
    </row>
    <row r="386">
      <c r="F386" s="73"/>
    </row>
    <row r="387">
      <c r="F387" s="73"/>
    </row>
    <row r="388">
      <c r="F388" s="73"/>
    </row>
    <row r="389">
      <c r="F389" s="73"/>
    </row>
    <row r="390">
      <c r="F390" s="73"/>
    </row>
    <row r="391">
      <c r="F391" s="73"/>
    </row>
    <row r="392">
      <c r="F392" s="73"/>
    </row>
    <row r="393">
      <c r="F393" s="73"/>
    </row>
    <row r="394">
      <c r="F394" s="73"/>
    </row>
    <row r="395">
      <c r="F395" s="73"/>
    </row>
    <row r="396">
      <c r="F396" s="73"/>
    </row>
    <row r="397">
      <c r="F397" s="73"/>
    </row>
    <row r="398">
      <c r="F398" s="73"/>
    </row>
    <row r="399">
      <c r="F399" s="73"/>
    </row>
    <row r="400">
      <c r="F400" s="73"/>
    </row>
    <row r="401">
      <c r="F401" s="73"/>
    </row>
    <row r="402">
      <c r="F402" s="73"/>
    </row>
    <row r="403">
      <c r="F403" s="73"/>
    </row>
    <row r="404">
      <c r="F404" s="73"/>
    </row>
    <row r="405">
      <c r="F405" s="73"/>
    </row>
    <row r="406">
      <c r="F406" s="73"/>
    </row>
    <row r="407">
      <c r="F407" s="73"/>
    </row>
    <row r="408">
      <c r="F408" s="73"/>
    </row>
    <row r="409">
      <c r="F409" s="73"/>
    </row>
    <row r="410">
      <c r="F410" s="73"/>
    </row>
    <row r="411">
      <c r="F411" s="73"/>
    </row>
    <row r="412">
      <c r="F412" s="73"/>
    </row>
    <row r="413">
      <c r="F413" s="73"/>
    </row>
    <row r="414">
      <c r="F414" s="73"/>
    </row>
    <row r="415">
      <c r="F415" s="73"/>
    </row>
    <row r="416">
      <c r="F416" s="73"/>
    </row>
    <row r="417">
      <c r="F417" s="73"/>
    </row>
    <row r="418">
      <c r="F418" s="73"/>
    </row>
    <row r="419">
      <c r="F419" s="73"/>
    </row>
    <row r="420">
      <c r="F420" s="73"/>
    </row>
    <row r="421">
      <c r="F421" s="73"/>
    </row>
    <row r="422">
      <c r="F422" s="73"/>
    </row>
    <row r="423">
      <c r="F423" s="73"/>
    </row>
    <row r="424">
      <c r="F424" s="73"/>
    </row>
    <row r="425">
      <c r="F425" s="73"/>
    </row>
    <row r="426">
      <c r="F426" s="73"/>
    </row>
    <row r="427">
      <c r="F427" s="73"/>
    </row>
    <row r="428">
      <c r="F428" s="73"/>
    </row>
    <row r="429">
      <c r="F429" s="73"/>
    </row>
    <row r="430">
      <c r="F430" s="73"/>
    </row>
    <row r="431">
      <c r="F431" s="73"/>
    </row>
    <row r="432">
      <c r="F432" s="73"/>
    </row>
    <row r="433">
      <c r="F433" s="73"/>
    </row>
    <row r="434">
      <c r="F434" s="73"/>
    </row>
    <row r="435">
      <c r="F435" s="73"/>
    </row>
    <row r="436">
      <c r="F436" s="73"/>
    </row>
    <row r="437">
      <c r="F437" s="73"/>
    </row>
    <row r="438">
      <c r="F438" s="73"/>
    </row>
    <row r="439">
      <c r="F439" s="73"/>
    </row>
    <row r="440">
      <c r="F440" s="73"/>
    </row>
    <row r="441">
      <c r="F441" s="73"/>
    </row>
    <row r="442">
      <c r="F442" s="73"/>
    </row>
    <row r="443">
      <c r="F443" s="73"/>
    </row>
    <row r="444">
      <c r="F444" s="73"/>
    </row>
    <row r="445">
      <c r="F445" s="73"/>
    </row>
    <row r="446">
      <c r="F446" s="73"/>
    </row>
    <row r="447">
      <c r="F447" s="73"/>
    </row>
    <row r="448">
      <c r="F448" s="73"/>
    </row>
    <row r="449">
      <c r="F449" s="73"/>
    </row>
    <row r="450">
      <c r="F450" s="73"/>
    </row>
    <row r="451">
      <c r="F451" s="73"/>
    </row>
    <row r="452">
      <c r="F452" s="73"/>
    </row>
    <row r="453">
      <c r="F453" s="73"/>
    </row>
    <row r="454">
      <c r="F454" s="73"/>
    </row>
    <row r="455">
      <c r="F455" s="73"/>
    </row>
    <row r="456">
      <c r="F456" s="73"/>
    </row>
    <row r="457">
      <c r="F457" s="73"/>
    </row>
    <row r="458">
      <c r="F458" s="73"/>
    </row>
    <row r="459">
      <c r="F459" s="73"/>
    </row>
    <row r="460">
      <c r="F460" s="73"/>
    </row>
    <row r="461">
      <c r="F461" s="73"/>
    </row>
    <row r="462">
      <c r="F462" s="73"/>
    </row>
    <row r="463">
      <c r="F463" s="73"/>
    </row>
    <row r="464">
      <c r="F464" s="73"/>
    </row>
    <row r="465">
      <c r="F465" s="73"/>
    </row>
    <row r="466">
      <c r="F466" s="73"/>
    </row>
    <row r="467">
      <c r="F467" s="73"/>
    </row>
    <row r="468">
      <c r="F468" s="73"/>
    </row>
    <row r="469">
      <c r="F469" s="73"/>
    </row>
    <row r="470">
      <c r="F470" s="73"/>
    </row>
    <row r="471">
      <c r="F471" s="73"/>
    </row>
    <row r="472">
      <c r="F472" s="73"/>
    </row>
    <row r="473">
      <c r="F473" s="73"/>
    </row>
    <row r="474">
      <c r="F474" s="73"/>
    </row>
    <row r="475">
      <c r="F475" s="73"/>
    </row>
    <row r="476">
      <c r="F476" s="73"/>
    </row>
    <row r="477">
      <c r="F477" s="73"/>
    </row>
    <row r="478">
      <c r="F478" s="73"/>
    </row>
    <row r="479">
      <c r="F479" s="73"/>
    </row>
    <row r="480">
      <c r="F480" s="73"/>
    </row>
    <row r="481">
      <c r="F481" s="73"/>
    </row>
    <row r="482">
      <c r="F482" s="73"/>
    </row>
    <row r="483">
      <c r="F483" s="73"/>
    </row>
    <row r="484">
      <c r="F484" s="73"/>
    </row>
    <row r="485">
      <c r="F485" s="73"/>
    </row>
    <row r="486">
      <c r="F486" s="73"/>
    </row>
    <row r="487">
      <c r="F487" s="73"/>
    </row>
    <row r="488">
      <c r="F488" s="73"/>
    </row>
    <row r="489">
      <c r="F489" s="73"/>
    </row>
    <row r="490">
      <c r="F490" s="73"/>
    </row>
    <row r="491">
      <c r="F491" s="73"/>
    </row>
    <row r="492">
      <c r="F492" s="73"/>
    </row>
    <row r="493">
      <c r="F493" s="73"/>
    </row>
    <row r="494">
      <c r="F494" s="73"/>
    </row>
    <row r="495">
      <c r="F495" s="73"/>
    </row>
    <row r="496">
      <c r="F496" s="73"/>
    </row>
    <row r="497">
      <c r="F497" s="73"/>
    </row>
    <row r="498">
      <c r="F498" s="73"/>
    </row>
    <row r="499">
      <c r="F499" s="73"/>
    </row>
    <row r="500">
      <c r="F500" s="73"/>
    </row>
    <row r="501">
      <c r="F501" s="73"/>
    </row>
    <row r="502">
      <c r="F502" s="73"/>
    </row>
    <row r="503">
      <c r="F503" s="73"/>
    </row>
    <row r="504">
      <c r="F504" s="73"/>
    </row>
    <row r="505">
      <c r="F505" s="73"/>
    </row>
    <row r="506">
      <c r="F506" s="73"/>
    </row>
    <row r="507">
      <c r="F507" s="73"/>
    </row>
    <row r="508">
      <c r="F508" s="73"/>
    </row>
    <row r="509">
      <c r="F509" s="73"/>
    </row>
    <row r="510">
      <c r="F510" s="73"/>
    </row>
    <row r="511">
      <c r="F511" s="73"/>
    </row>
    <row r="512">
      <c r="F512" s="73"/>
    </row>
    <row r="513">
      <c r="F513" s="73"/>
    </row>
    <row r="514">
      <c r="F514" s="73"/>
    </row>
    <row r="515">
      <c r="F515" s="73"/>
    </row>
    <row r="516">
      <c r="F516" s="73"/>
    </row>
    <row r="517">
      <c r="F517" s="73"/>
    </row>
    <row r="518">
      <c r="F518" s="73"/>
    </row>
    <row r="519">
      <c r="F519" s="73"/>
    </row>
    <row r="520">
      <c r="F520" s="73"/>
    </row>
    <row r="521">
      <c r="F521" s="73"/>
    </row>
    <row r="522">
      <c r="F522" s="73"/>
    </row>
    <row r="523">
      <c r="F523" s="73"/>
    </row>
    <row r="524">
      <c r="F524" s="73"/>
    </row>
    <row r="525">
      <c r="F525" s="73"/>
    </row>
    <row r="526">
      <c r="F526" s="73"/>
    </row>
    <row r="527">
      <c r="F527" s="73"/>
    </row>
    <row r="528">
      <c r="F528" s="73"/>
    </row>
    <row r="529">
      <c r="F529" s="73"/>
    </row>
    <row r="530">
      <c r="F530" s="73"/>
    </row>
    <row r="531">
      <c r="F531" s="73"/>
    </row>
    <row r="532">
      <c r="F532" s="73"/>
    </row>
    <row r="533">
      <c r="F533" s="73"/>
    </row>
    <row r="534">
      <c r="F534" s="73"/>
    </row>
    <row r="535">
      <c r="F535" s="73"/>
    </row>
    <row r="536">
      <c r="F536" s="73"/>
    </row>
    <row r="537">
      <c r="F537" s="73"/>
    </row>
    <row r="538">
      <c r="F538" s="73"/>
    </row>
    <row r="539">
      <c r="F539" s="73"/>
    </row>
    <row r="540">
      <c r="F540" s="73"/>
    </row>
    <row r="541">
      <c r="F541" s="73"/>
    </row>
    <row r="542">
      <c r="F542" s="73"/>
    </row>
    <row r="543">
      <c r="F543" s="73"/>
    </row>
    <row r="544">
      <c r="F544" s="73"/>
    </row>
    <row r="545">
      <c r="F545" s="73"/>
    </row>
    <row r="546">
      <c r="F546" s="73"/>
    </row>
    <row r="547">
      <c r="F547" s="73"/>
    </row>
    <row r="548">
      <c r="F548" s="73"/>
    </row>
    <row r="549">
      <c r="F549" s="73"/>
    </row>
    <row r="550">
      <c r="F550" s="73"/>
    </row>
    <row r="551">
      <c r="F551" s="73"/>
    </row>
    <row r="552">
      <c r="F552" s="73"/>
    </row>
    <row r="553">
      <c r="F553" s="73"/>
    </row>
    <row r="554">
      <c r="F554" s="73"/>
    </row>
    <row r="555">
      <c r="F555" s="73"/>
    </row>
    <row r="556">
      <c r="F556" s="73"/>
    </row>
    <row r="557">
      <c r="F557" s="73"/>
    </row>
    <row r="558">
      <c r="F558" s="73"/>
    </row>
    <row r="559">
      <c r="F559" s="73"/>
    </row>
    <row r="560">
      <c r="F560" s="73"/>
    </row>
    <row r="561">
      <c r="F561" s="73"/>
    </row>
    <row r="562">
      <c r="F562" s="73"/>
    </row>
    <row r="563">
      <c r="F563" s="73"/>
    </row>
    <row r="564">
      <c r="F564" s="73"/>
    </row>
    <row r="565">
      <c r="F565" s="73"/>
    </row>
    <row r="566">
      <c r="F566" s="73"/>
    </row>
    <row r="567">
      <c r="F567" s="73"/>
    </row>
    <row r="568">
      <c r="F568" s="73"/>
    </row>
    <row r="569">
      <c r="F569" s="73"/>
    </row>
    <row r="570">
      <c r="F570" s="73"/>
    </row>
    <row r="571">
      <c r="F571" s="73"/>
    </row>
    <row r="572">
      <c r="F572" s="73"/>
    </row>
    <row r="573">
      <c r="F573" s="73"/>
    </row>
    <row r="574">
      <c r="F574" s="73"/>
    </row>
    <row r="575">
      <c r="F575" s="73"/>
    </row>
    <row r="576">
      <c r="F576" s="73"/>
    </row>
    <row r="577">
      <c r="F577" s="73"/>
    </row>
    <row r="578">
      <c r="F578" s="73"/>
    </row>
    <row r="579">
      <c r="F579" s="73"/>
    </row>
    <row r="580">
      <c r="F580" s="73"/>
    </row>
    <row r="581">
      <c r="F581" s="73"/>
    </row>
    <row r="582">
      <c r="F582" s="73"/>
    </row>
    <row r="583">
      <c r="F583" s="73"/>
    </row>
    <row r="584">
      <c r="F584" s="73"/>
    </row>
    <row r="585">
      <c r="F585" s="73"/>
    </row>
    <row r="586">
      <c r="F586" s="73"/>
    </row>
    <row r="587">
      <c r="F587" s="73"/>
    </row>
    <row r="588">
      <c r="F588" s="73"/>
    </row>
    <row r="589">
      <c r="F589" s="73"/>
    </row>
    <row r="590">
      <c r="F590" s="73"/>
    </row>
    <row r="591">
      <c r="F591" s="73"/>
    </row>
    <row r="592">
      <c r="F592" s="73"/>
    </row>
    <row r="593">
      <c r="F593" s="73"/>
    </row>
    <row r="594">
      <c r="F594" s="73"/>
    </row>
    <row r="595">
      <c r="F595" s="73"/>
    </row>
    <row r="596">
      <c r="F596" s="73"/>
    </row>
    <row r="597">
      <c r="F597" s="73"/>
    </row>
    <row r="598">
      <c r="F598" s="73"/>
    </row>
    <row r="599">
      <c r="F599" s="73"/>
    </row>
    <row r="600">
      <c r="F600" s="73"/>
    </row>
    <row r="601">
      <c r="F601" s="73"/>
    </row>
    <row r="602">
      <c r="F602" s="73"/>
    </row>
    <row r="603">
      <c r="F603" s="73"/>
    </row>
    <row r="604">
      <c r="F604" s="73"/>
    </row>
    <row r="605">
      <c r="F605" s="73"/>
    </row>
    <row r="606">
      <c r="F606" s="73"/>
    </row>
    <row r="607">
      <c r="F607" s="73"/>
    </row>
    <row r="608">
      <c r="F608" s="73"/>
    </row>
    <row r="609">
      <c r="F609" s="73"/>
    </row>
    <row r="610">
      <c r="F610" s="73"/>
    </row>
    <row r="611">
      <c r="F611" s="73"/>
    </row>
    <row r="612">
      <c r="F612" s="73"/>
    </row>
    <row r="613">
      <c r="F613" s="73"/>
    </row>
    <row r="614">
      <c r="F614" s="73"/>
    </row>
    <row r="615">
      <c r="F615" s="73"/>
    </row>
    <row r="616">
      <c r="F616" s="73"/>
    </row>
    <row r="617">
      <c r="F617" s="73"/>
    </row>
    <row r="618">
      <c r="F618" s="73"/>
    </row>
    <row r="619">
      <c r="F619" s="73"/>
    </row>
    <row r="620">
      <c r="F620" s="73"/>
    </row>
    <row r="621">
      <c r="F621" s="73"/>
    </row>
    <row r="622">
      <c r="F622" s="73"/>
    </row>
    <row r="623">
      <c r="F623" s="73"/>
    </row>
    <row r="624">
      <c r="F624" s="73"/>
    </row>
    <row r="625">
      <c r="F625" s="73"/>
    </row>
    <row r="626">
      <c r="F626" s="73"/>
    </row>
    <row r="627">
      <c r="F627" s="73"/>
    </row>
    <row r="628">
      <c r="F628" s="73"/>
    </row>
    <row r="629">
      <c r="F629" s="73"/>
    </row>
    <row r="630">
      <c r="F630" s="73"/>
    </row>
    <row r="631">
      <c r="F631" s="73"/>
    </row>
    <row r="632">
      <c r="F632" s="73"/>
    </row>
    <row r="633">
      <c r="F633" s="73"/>
    </row>
    <row r="634">
      <c r="F634" s="73"/>
    </row>
    <row r="635">
      <c r="F635" s="73"/>
    </row>
    <row r="636">
      <c r="F636" s="73"/>
    </row>
    <row r="637">
      <c r="F637" s="73"/>
    </row>
    <row r="638">
      <c r="F638" s="73"/>
    </row>
    <row r="639">
      <c r="F639" s="73"/>
    </row>
    <row r="640">
      <c r="F640" s="73"/>
    </row>
    <row r="641">
      <c r="F641" s="73"/>
    </row>
    <row r="642">
      <c r="F642" s="73"/>
    </row>
    <row r="643">
      <c r="F643" s="73"/>
    </row>
    <row r="644">
      <c r="F644" s="73"/>
    </row>
    <row r="645">
      <c r="F645" s="73"/>
    </row>
    <row r="646">
      <c r="F646" s="73"/>
    </row>
    <row r="647">
      <c r="F647" s="73"/>
    </row>
    <row r="648">
      <c r="F648" s="73"/>
    </row>
    <row r="649">
      <c r="F649" s="73"/>
    </row>
    <row r="650">
      <c r="F650" s="73"/>
    </row>
    <row r="651">
      <c r="F651" s="73"/>
    </row>
    <row r="652">
      <c r="F652" s="73"/>
    </row>
    <row r="653">
      <c r="F653" s="73"/>
    </row>
    <row r="654">
      <c r="F654" s="73"/>
    </row>
    <row r="655">
      <c r="F655" s="73"/>
    </row>
    <row r="656">
      <c r="F656" s="73"/>
    </row>
    <row r="657">
      <c r="F657" s="73"/>
    </row>
    <row r="658">
      <c r="F658" s="73"/>
    </row>
    <row r="659">
      <c r="F659" s="73"/>
    </row>
    <row r="660">
      <c r="F660" s="73"/>
    </row>
    <row r="661">
      <c r="F661" s="73"/>
    </row>
    <row r="662">
      <c r="F662" s="73"/>
    </row>
    <row r="663">
      <c r="F663" s="73"/>
    </row>
    <row r="664">
      <c r="F664" s="73"/>
    </row>
    <row r="665">
      <c r="F665" s="73"/>
    </row>
    <row r="666">
      <c r="F666" s="73"/>
    </row>
    <row r="667">
      <c r="F667" s="73"/>
    </row>
    <row r="668">
      <c r="F668" s="73"/>
    </row>
    <row r="669">
      <c r="F669" s="73"/>
    </row>
    <row r="670">
      <c r="F670" s="73"/>
    </row>
    <row r="671">
      <c r="F671" s="73"/>
    </row>
    <row r="672">
      <c r="F672" s="73"/>
    </row>
    <row r="673">
      <c r="F673" s="73"/>
    </row>
    <row r="674">
      <c r="F674" s="73"/>
    </row>
    <row r="675">
      <c r="F675" s="73"/>
    </row>
    <row r="676">
      <c r="F676" s="73"/>
    </row>
    <row r="677">
      <c r="F677" s="73"/>
    </row>
    <row r="678">
      <c r="F678" s="73"/>
    </row>
    <row r="679">
      <c r="F679" s="73"/>
    </row>
    <row r="680">
      <c r="F680" s="73"/>
    </row>
    <row r="681">
      <c r="F681" s="73"/>
    </row>
    <row r="682">
      <c r="F682" s="73"/>
    </row>
    <row r="683">
      <c r="F683" s="73"/>
    </row>
    <row r="684">
      <c r="F684" s="73"/>
    </row>
    <row r="685">
      <c r="F685" s="73"/>
    </row>
    <row r="686">
      <c r="F686" s="73"/>
    </row>
    <row r="687">
      <c r="F687" s="73"/>
    </row>
    <row r="688">
      <c r="F688" s="73"/>
    </row>
    <row r="689">
      <c r="F689" s="73"/>
    </row>
    <row r="690">
      <c r="F690" s="73"/>
    </row>
    <row r="691">
      <c r="F691" s="73"/>
    </row>
    <row r="692">
      <c r="F692" s="73"/>
    </row>
    <row r="693">
      <c r="F693" s="73"/>
    </row>
    <row r="694">
      <c r="F694" s="73"/>
    </row>
    <row r="695">
      <c r="F695" s="73"/>
    </row>
    <row r="696">
      <c r="F696" s="73"/>
    </row>
    <row r="697">
      <c r="F697" s="73"/>
    </row>
    <row r="698">
      <c r="F698" s="73"/>
    </row>
    <row r="699">
      <c r="F699" s="73"/>
    </row>
    <row r="700">
      <c r="F700" s="73"/>
    </row>
    <row r="701">
      <c r="F701" s="73"/>
    </row>
    <row r="702">
      <c r="F702" s="73"/>
    </row>
    <row r="703">
      <c r="F703" s="73"/>
    </row>
    <row r="704">
      <c r="F704" s="73"/>
    </row>
    <row r="705">
      <c r="F705" s="73"/>
    </row>
    <row r="706">
      <c r="F706" s="73"/>
    </row>
    <row r="707">
      <c r="F707" s="73"/>
    </row>
    <row r="708">
      <c r="F708" s="73"/>
    </row>
    <row r="709">
      <c r="F709" s="73"/>
    </row>
    <row r="710">
      <c r="F710" s="73"/>
    </row>
    <row r="711">
      <c r="F711" s="73"/>
    </row>
    <row r="712">
      <c r="F712" s="73"/>
    </row>
    <row r="713">
      <c r="F713" s="73"/>
    </row>
    <row r="714">
      <c r="F714" s="73"/>
    </row>
    <row r="715">
      <c r="F715" s="73"/>
    </row>
    <row r="716">
      <c r="F716" s="73"/>
    </row>
    <row r="717">
      <c r="F717" s="73"/>
    </row>
    <row r="718">
      <c r="F718" s="73"/>
    </row>
    <row r="719">
      <c r="F719" s="73"/>
    </row>
    <row r="720">
      <c r="F720" s="73"/>
    </row>
    <row r="721">
      <c r="F721" s="73"/>
    </row>
    <row r="722">
      <c r="F722" s="73"/>
    </row>
    <row r="723">
      <c r="F723" s="73"/>
    </row>
    <row r="724">
      <c r="F724" s="73"/>
    </row>
    <row r="725">
      <c r="F725" s="73"/>
    </row>
    <row r="726">
      <c r="F726" s="73"/>
    </row>
    <row r="727">
      <c r="F727" s="73"/>
    </row>
    <row r="728">
      <c r="F728" s="73"/>
    </row>
    <row r="729">
      <c r="F729" s="73"/>
    </row>
    <row r="730">
      <c r="F730" s="73"/>
    </row>
    <row r="731">
      <c r="F731" s="73"/>
    </row>
    <row r="732">
      <c r="F732" s="73"/>
    </row>
    <row r="733">
      <c r="F733" s="73"/>
    </row>
    <row r="734">
      <c r="F734" s="73"/>
    </row>
    <row r="735">
      <c r="F735" s="73"/>
    </row>
    <row r="736">
      <c r="F736" s="73"/>
    </row>
    <row r="737">
      <c r="F737" s="73"/>
    </row>
    <row r="738">
      <c r="F738" s="73"/>
    </row>
    <row r="739">
      <c r="F739" s="73"/>
    </row>
    <row r="740">
      <c r="F740" s="73"/>
    </row>
    <row r="741">
      <c r="F741" s="73"/>
    </row>
    <row r="742">
      <c r="F742" s="73"/>
    </row>
    <row r="743">
      <c r="F743" s="73"/>
    </row>
    <row r="744">
      <c r="F744" s="73"/>
    </row>
    <row r="745">
      <c r="F745" s="73"/>
    </row>
    <row r="746">
      <c r="F746" s="73"/>
    </row>
    <row r="747">
      <c r="F747" s="73"/>
    </row>
    <row r="748">
      <c r="F748" s="73"/>
    </row>
    <row r="749">
      <c r="F749" s="73"/>
    </row>
    <row r="750">
      <c r="F750" s="73"/>
    </row>
    <row r="751">
      <c r="F751" s="73"/>
    </row>
    <row r="752">
      <c r="F752" s="73"/>
    </row>
    <row r="753">
      <c r="F753" s="73"/>
    </row>
    <row r="754">
      <c r="F754" s="73"/>
    </row>
    <row r="755">
      <c r="F755" s="73"/>
    </row>
    <row r="756">
      <c r="F756" s="73"/>
    </row>
    <row r="757">
      <c r="F757" s="73"/>
    </row>
    <row r="758">
      <c r="F758" s="73"/>
    </row>
    <row r="759">
      <c r="F759" s="73"/>
    </row>
    <row r="760">
      <c r="F760" s="73"/>
    </row>
    <row r="761">
      <c r="F761" s="73"/>
    </row>
    <row r="762">
      <c r="F762" s="73"/>
    </row>
    <row r="763">
      <c r="F763" s="73"/>
    </row>
    <row r="764">
      <c r="F764" s="73"/>
    </row>
    <row r="765">
      <c r="F765" s="73"/>
    </row>
    <row r="766">
      <c r="F766" s="73"/>
    </row>
    <row r="767">
      <c r="F767" s="73"/>
    </row>
    <row r="768">
      <c r="F768" s="73"/>
    </row>
    <row r="769">
      <c r="F769" s="73"/>
    </row>
    <row r="770">
      <c r="F770" s="73"/>
    </row>
    <row r="771">
      <c r="F771" s="73"/>
    </row>
    <row r="772">
      <c r="F772" s="73"/>
    </row>
    <row r="773">
      <c r="F773" s="73"/>
    </row>
    <row r="774">
      <c r="F774" s="73"/>
    </row>
    <row r="775">
      <c r="F775" s="73"/>
    </row>
    <row r="776">
      <c r="F776" s="73"/>
    </row>
    <row r="777">
      <c r="F777" s="73"/>
    </row>
    <row r="778">
      <c r="F778" s="73"/>
    </row>
    <row r="779">
      <c r="F779" s="73"/>
    </row>
    <row r="780">
      <c r="F780" s="73"/>
    </row>
    <row r="781">
      <c r="F781" s="73"/>
    </row>
    <row r="782">
      <c r="F782" s="73"/>
    </row>
    <row r="783">
      <c r="F783" s="73"/>
    </row>
    <row r="784">
      <c r="F784" s="73"/>
    </row>
    <row r="785">
      <c r="F785" s="73"/>
    </row>
    <row r="786">
      <c r="F786" s="73"/>
    </row>
    <row r="787">
      <c r="F787" s="73"/>
    </row>
    <row r="788">
      <c r="F788" s="73"/>
    </row>
    <row r="789">
      <c r="F789" s="73"/>
    </row>
    <row r="790">
      <c r="F790" s="73"/>
    </row>
    <row r="791">
      <c r="F791" s="73"/>
    </row>
    <row r="792">
      <c r="F792" s="73"/>
    </row>
    <row r="793">
      <c r="F793" s="73"/>
    </row>
    <row r="794">
      <c r="F794" s="73"/>
    </row>
    <row r="795">
      <c r="F795" s="73"/>
    </row>
    <row r="796">
      <c r="F796" s="73"/>
    </row>
    <row r="797">
      <c r="F797" s="73"/>
    </row>
    <row r="798">
      <c r="F798" s="73"/>
    </row>
    <row r="799">
      <c r="F799" s="73"/>
    </row>
    <row r="800">
      <c r="F800" s="73"/>
    </row>
    <row r="801">
      <c r="F801" s="73"/>
    </row>
    <row r="802">
      <c r="F802" s="73"/>
    </row>
    <row r="803">
      <c r="F803" s="73"/>
    </row>
    <row r="804">
      <c r="F804" s="73"/>
    </row>
    <row r="805">
      <c r="F805" s="73"/>
    </row>
    <row r="806">
      <c r="F806" s="73"/>
    </row>
    <row r="807">
      <c r="F807" s="73"/>
    </row>
    <row r="808">
      <c r="F808" s="73"/>
    </row>
    <row r="809">
      <c r="F809" s="73"/>
    </row>
    <row r="810">
      <c r="F810" s="73"/>
    </row>
    <row r="811">
      <c r="F811" s="73"/>
    </row>
    <row r="812">
      <c r="F812" s="73"/>
    </row>
    <row r="813">
      <c r="F813" s="73"/>
    </row>
    <row r="814">
      <c r="F814" s="73"/>
    </row>
    <row r="815">
      <c r="F815" s="73"/>
    </row>
    <row r="816">
      <c r="F816" s="73"/>
    </row>
    <row r="817">
      <c r="F817" s="73"/>
    </row>
    <row r="818">
      <c r="F818" s="73"/>
    </row>
    <row r="819">
      <c r="F819" s="73"/>
    </row>
    <row r="820">
      <c r="F820" s="73"/>
    </row>
    <row r="821">
      <c r="F821" s="73"/>
    </row>
    <row r="822">
      <c r="F822" s="73"/>
    </row>
    <row r="823">
      <c r="F823" s="73"/>
    </row>
    <row r="824">
      <c r="F824" s="73"/>
    </row>
    <row r="825">
      <c r="F825" s="73"/>
    </row>
    <row r="826">
      <c r="F826" s="73"/>
    </row>
    <row r="827">
      <c r="F827" s="73"/>
    </row>
    <row r="828">
      <c r="F828" s="73"/>
    </row>
    <row r="829">
      <c r="F829" s="73"/>
    </row>
    <row r="830">
      <c r="F830" s="73"/>
    </row>
    <row r="831">
      <c r="F831" s="73"/>
    </row>
    <row r="832">
      <c r="F832" s="73"/>
    </row>
    <row r="833">
      <c r="F833" s="73"/>
    </row>
    <row r="834">
      <c r="F834" s="73"/>
    </row>
    <row r="835">
      <c r="F835" s="73"/>
    </row>
    <row r="836">
      <c r="F836" s="73"/>
    </row>
    <row r="837">
      <c r="F837" s="73"/>
    </row>
    <row r="838">
      <c r="F838" s="73"/>
    </row>
    <row r="839">
      <c r="F839" s="73"/>
    </row>
    <row r="840">
      <c r="F840" s="73"/>
    </row>
    <row r="841">
      <c r="F841" s="73"/>
    </row>
    <row r="842">
      <c r="F842" s="73"/>
    </row>
    <row r="843">
      <c r="F843" s="73"/>
    </row>
    <row r="844">
      <c r="F844" s="73"/>
    </row>
    <row r="845">
      <c r="F845" s="73"/>
    </row>
    <row r="846">
      <c r="F846" s="73"/>
    </row>
    <row r="847">
      <c r="F847" s="73"/>
    </row>
    <row r="848">
      <c r="F848" s="73"/>
    </row>
    <row r="849">
      <c r="F849" s="73"/>
    </row>
    <row r="850">
      <c r="F850" s="73"/>
    </row>
    <row r="851">
      <c r="F851" s="73"/>
    </row>
    <row r="852">
      <c r="F852" s="73"/>
    </row>
    <row r="853">
      <c r="F853" s="73"/>
    </row>
    <row r="854">
      <c r="F854" s="73"/>
    </row>
    <row r="855">
      <c r="F855" s="73"/>
    </row>
    <row r="856">
      <c r="F856" s="73"/>
    </row>
    <row r="857">
      <c r="F857" s="73"/>
    </row>
    <row r="858">
      <c r="F858" s="73"/>
    </row>
    <row r="859">
      <c r="F859" s="73"/>
    </row>
    <row r="860">
      <c r="F860" s="73"/>
    </row>
    <row r="861">
      <c r="F861" s="73"/>
    </row>
    <row r="862">
      <c r="F862" s="73"/>
    </row>
    <row r="863">
      <c r="F863" s="73"/>
    </row>
    <row r="864">
      <c r="F864" s="73"/>
    </row>
    <row r="865">
      <c r="F865" s="73"/>
    </row>
    <row r="866">
      <c r="F866" s="73"/>
    </row>
    <row r="867">
      <c r="F867" s="73"/>
    </row>
    <row r="868">
      <c r="F868" s="73"/>
    </row>
    <row r="869">
      <c r="F869" s="73"/>
    </row>
    <row r="870">
      <c r="F870" s="73"/>
    </row>
    <row r="871">
      <c r="F871" s="73"/>
    </row>
    <row r="872">
      <c r="F872" s="73"/>
    </row>
    <row r="873">
      <c r="F873" s="73"/>
    </row>
    <row r="874">
      <c r="F874" s="73"/>
    </row>
    <row r="875">
      <c r="F875" s="73"/>
    </row>
    <row r="876">
      <c r="F876" s="73"/>
    </row>
    <row r="877">
      <c r="F877" s="73"/>
    </row>
    <row r="878">
      <c r="F878" s="73"/>
    </row>
    <row r="879">
      <c r="F879" s="73"/>
    </row>
    <row r="880">
      <c r="F880" s="73"/>
    </row>
    <row r="881">
      <c r="F881" s="73"/>
    </row>
    <row r="882">
      <c r="F882" s="73"/>
    </row>
    <row r="883">
      <c r="F883" s="73"/>
    </row>
    <row r="884">
      <c r="F884" s="73"/>
    </row>
    <row r="885">
      <c r="F885" s="73"/>
    </row>
    <row r="886">
      <c r="F886" s="73"/>
    </row>
    <row r="887">
      <c r="F887" s="73"/>
    </row>
    <row r="888">
      <c r="F888" s="73"/>
    </row>
    <row r="889">
      <c r="F889" s="73"/>
    </row>
    <row r="890">
      <c r="F890" s="73"/>
    </row>
    <row r="891">
      <c r="F891" s="73"/>
    </row>
    <row r="892">
      <c r="F892" s="73"/>
    </row>
    <row r="893">
      <c r="F893" s="73"/>
    </row>
    <row r="894">
      <c r="F894" s="73"/>
    </row>
    <row r="895">
      <c r="F895" s="73"/>
    </row>
    <row r="896">
      <c r="F896" s="73"/>
    </row>
    <row r="897">
      <c r="F897" s="73"/>
    </row>
    <row r="898">
      <c r="F898" s="73"/>
    </row>
    <row r="899">
      <c r="F899" s="73"/>
    </row>
    <row r="900">
      <c r="F900" s="73"/>
    </row>
    <row r="901">
      <c r="F901" s="73"/>
    </row>
    <row r="902">
      <c r="F902" s="73"/>
    </row>
    <row r="903">
      <c r="F903" s="73"/>
    </row>
    <row r="904">
      <c r="F904" s="73"/>
    </row>
    <row r="905">
      <c r="F905" s="73"/>
    </row>
    <row r="906">
      <c r="F906" s="73"/>
    </row>
    <row r="907">
      <c r="F907" s="73"/>
    </row>
    <row r="908">
      <c r="F908" s="73"/>
    </row>
    <row r="909">
      <c r="F909" s="73"/>
    </row>
    <row r="910">
      <c r="F910" s="73"/>
    </row>
    <row r="911">
      <c r="F911" s="73"/>
    </row>
    <row r="912">
      <c r="F912" s="73"/>
    </row>
    <row r="913">
      <c r="F913" s="73"/>
    </row>
    <row r="914">
      <c r="F914" s="73"/>
    </row>
    <row r="915">
      <c r="F915" s="73"/>
    </row>
    <row r="916">
      <c r="F916" s="73"/>
    </row>
    <row r="917">
      <c r="F917" s="73"/>
    </row>
    <row r="918">
      <c r="F918" s="73"/>
    </row>
    <row r="919">
      <c r="F919" s="73"/>
    </row>
    <row r="920">
      <c r="F920" s="73"/>
    </row>
    <row r="921">
      <c r="F921" s="73"/>
    </row>
    <row r="922">
      <c r="F922" s="73"/>
    </row>
    <row r="923">
      <c r="F923" s="73"/>
    </row>
    <row r="924">
      <c r="F924" s="73"/>
    </row>
    <row r="925">
      <c r="F925" s="73"/>
    </row>
    <row r="926">
      <c r="F926" s="73"/>
    </row>
    <row r="927">
      <c r="F927" s="73"/>
    </row>
    <row r="928">
      <c r="F928" s="73"/>
    </row>
    <row r="929">
      <c r="F929" s="73"/>
    </row>
    <row r="930">
      <c r="F930" s="73"/>
    </row>
    <row r="931">
      <c r="F931" s="73"/>
    </row>
    <row r="932">
      <c r="F932" s="73"/>
    </row>
    <row r="933">
      <c r="F933" s="73"/>
    </row>
    <row r="934">
      <c r="F934" s="73"/>
    </row>
    <row r="935">
      <c r="F935" s="73"/>
    </row>
    <row r="936">
      <c r="F936" s="73"/>
    </row>
    <row r="937">
      <c r="F937" s="73"/>
    </row>
    <row r="938">
      <c r="F938" s="73"/>
    </row>
    <row r="939">
      <c r="F939" s="73"/>
    </row>
    <row r="940">
      <c r="F940" s="73"/>
    </row>
    <row r="941">
      <c r="F941" s="73"/>
    </row>
    <row r="942">
      <c r="F942" s="73"/>
    </row>
    <row r="943">
      <c r="F943" s="73"/>
    </row>
    <row r="944">
      <c r="F944" s="73"/>
    </row>
    <row r="945">
      <c r="F945" s="73"/>
    </row>
    <row r="946">
      <c r="F946" s="73"/>
    </row>
    <row r="947">
      <c r="F947" s="73"/>
    </row>
    <row r="948">
      <c r="F948" s="73"/>
    </row>
    <row r="949">
      <c r="F949" s="73"/>
    </row>
    <row r="950">
      <c r="F950" s="73"/>
    </row>
    <row r="951">
      <c r="F951" s="73"/>
    </row>
    <row r="952">
      <c r="F952" s="73"/>
    </row>
    <row r="953">
      <c r="F953" s="73"/>
    </row>
    <row r="954">
      <c r="F954" s="73"/>
    </row>
    <row r="955">
      <c r="F955" s="73"/>
    </row>
    <row r="956">
      <c r="F956" s="73"/>
    </row>
    <row r="957">
      <c r="F957" s="73"/>
    </row>
    <row r="958">
      <c r="F958" s="73"/>
    </row>
    <row r="959">
      <c r="F959" s="73"/>
    </row>
    <row r="960">
      <c r="F960" s="73"/>
    </row>
    <row r="961">
      <c r="F961" s="73"/>
    </row>
    <row r="962">
      <c r="F962" s="73"/>
    </row>
    <row r="963">
      <c r="F963" s="73"/>
    </row>
    <row r="964">
      <c r="F964" s="73"/>
    </row>
    <row r="965">
      <c r="F965" s="73"/>
    </row>
    <row r="966">
      <c r="F966" s="73"/>
    </row>
    <row r="967">
      <c r="F967" s="73"/>
    </row>
    <row r="968">
      <c r="F968" s="73"/>
    </row>
    <row r="969">
      <c r="F969" s="73"/>
    </row>
    <row r="970">
      <c r="F970" s="73"/>
    </row>
    <row r="971">
      <c r="F971" s="73"/>
    </row>
    <row r="972">
      <c r="F972" s="73"/>
    </row>
    <row r="973">
      <c r="F973" s="73"/>
    </row>
    <row r="974">
      <c r="F974" s="73"/>
    </row>
    <row r="975">
      <c r="F975" s="73"/>
    </row>
    <row r="976">
      <c r="F976" s="73"/>
    </row>
    <row r="977">
      <c r="F977" s="73"/>
    </row>
    <row r="978">
      <c r="F978" s="73"/>
    </row>
    <row r="979">
      <c r="F979" s="73"/>
    </row>
    <row r="980">
      <c r="F980" s="73"/>
    </row>
    <row r="981">
      <c r="F981" s="73"/>
    </row>
    <row r="982">
      <c r="F982" s="73"/>
    </row>
    <row r="983">
      <c r="F983" s="73"/>
    </row>
    <row r="984">
      <c r="F984" s="73"/>
    </row>
    <row r="985">
      <c r="F985" s="73"/>
    </row>
    <row r="986">
      <c r="F986" s="73"/>
    </row>
    <row r="987">
      <c r="F987" s="73"/>
    </row>
    <row r="988">
      <c r="F988" s="73"/>
    </row>
    <row r="989">
      <c r="F989" s="73"/>
    </row>
    <row r="990">
      <c r="F990" s="73"/>
    </row>
    <row r="991">
      <c r="F991" s="73"/>
    </row>
    <row r="992">
      <c r="F992" s="73"/>
    </row>
    <row r="993">
      <c r="F993" s="73"/>
    </row>
    <row r="994">
      <c r="F994" s="73"/>
    </row>
    <row r="995">
      <c r="F995" s="73"/>
    </row>
    <row r="996">
      <c r="F996" s="73"/>
    </row>
    <row r="997">
      <c r="F997" s="73"/>
    </row>
    <row r="998">
      <c r="F998" s="73"/>
    </row>
    <row r="999">
      <c r="F999" s="73"/>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E10"/>
    <hyperlink r:id="rId18" ref="I10"/>
    <hyperlink r:id="rId19" ref="J10"/>
    <hyperlink r:id="rId20" ref="E11"/>
    <hyperlink r:id="rId21" ref="J11"/>
    <hyperlink r:id="rId22" ref="E12"/>
    <hyperlink r:id="rId23" ref="I12"/>
    <hyperlink r:id="rId24" ref="E13"/>
    <hyperlink r:id="rId25" ref="I13"/>
    <hyperlink r:id="rId26" ref="E14"/>
    <hyperlink r:id="rId27" ref="I14"/>
    <hyperlink r:id="rId28" ref="E15"/>
    <hyperlink r:id="rId29" ref="I15"/>
    <hyperlink r:id="rId30" ref="E16"/>
    <hyperlink r:id="rId31" ref="I16"/>
    <hyperlink r:id="rId32" ref="E17"/>
    <hyperlink r:id="rId33" ref="I17"/>
    <hyperlink r:id="rId34" ref="E18"/>
    <hyperlink r:id="rId35" ref="I18"/>
    <hyperlink r:id="rId36" ref="E20"/>
    <hyperlink r:id="rId37" ref="I20"/>
    <hyperlink r:id="rId38" ref="E21"/>
    <hyperlink r:id="rId39" ref="I21"/>
    <hyperlink r:id="rId40" ref="E22"/>
    <hyperlink r:id="rId41" ref="I22"/>
    <hyperlink r:id="rId42" ref="E23"/>
    <hyperlink r:id="rId43" ref="I23"/>
    <hyperlink r:id="rId44" ref="E24"/>
    <hyperlink r:id="rId45" ref="I24"/>
    <hyperlink r:id="rId46" ref="E25"/>
    <hyperlink r:id="rId47" ref="I25"/>
    <hyperlink r:id="rId48" ref="E26"/>
    <hyperlink r:id="rId49" ref="E27"/>
    <hyperlink r:id="rId50" ref="E28"/>
    <hyperlink r:id="rId51" ref="I28"/>
    <hyperlink r:id="rId52" ref="E29"/>
    <hyperlink r:id="rId53" ref="I29"/>
    <hyperlink r:id="rId54" ref="E30"/>
    <hyperlink r:id="rId55" ref="I30"/>
    <hyperlink r:id="rId56" ref="E31"/>
    <hyperlink r:id="rId57" ref="I31"/>
    <hyperlink r:id="rId58" ref="E32"/>
    <hyperlink r:id="rId59" ref="I32"/>
    <hyperlink r:id="rId60" ref="E33"/>
    <hyperlink r:id="rId61" ref="I33"/>
    <hyperlink r:id="rId62" ref="E34"/>
    <hyperlink r:id="rId63" ref="I34"/>
    <hyperlink r:id="rId64" ref="E35"/>
    <hyperlink r:id="rId65" ref="I35"/>
    <hyperlink r:id="rId66" ref="E36"/>
    <hyperlink r:id="rId67" ref="I36"/>
    <hyperlink r:id="rId68" ref="E37"/>
    <hyperlink r:id="rId69" ref="I37"/>
    <hyperlink r:id="rId70" ref="E38"/>
    <hyperlink r:id="rId71" ref="I38"/>
    <hyperlink r:id="rId72" ref="E39"/>
    <hyperlink r:id="rId73" ref="I39"/>
    <hyperlink r:id="rId74" ref="E40"/>
    <hyperlink r:id="rId75" ref="I40"/>
    <hyperlink r:id="rId76" ref="E41"/>
    <hyperlink r:id="rId77" ref="I41"/>
    <hyperlink r:id="rId78" ref="E42"/>
    <hyperlink r:id="rId79" ref="I42"/>
    <hyperlink r:id="rId80" ref="E43"/>
    <hyperlink r:id="rId81" ref="I43"/>
    <hyperlink r:id="rId82" ref="E44"/>
    <hyperlink r:id="rId83" ref="I44"/>
    <hyperlink r:id="rId84" ref="E45"/>
    <hyperlink r:id="rId85" ref="I45"/>
    <hyperlink r:id="rId86" ref="E46"/>
    <hyperlink r:id="rId87" ref="I46"/>
    <hyperlink r:id="rId88" ref="E47"/>
    <hyperlink r:id="rId89" ref="I47"/>
    <hyperlink r:id="rId90" ref="E48"/>
    <hyperlink r:id="rId91" ref="I48"/>
    <hyperlink r:id="rId92" ref="E49"/>
    <hyperlink r:id="rId93" ref="I49"/>
    <hyperlink r:id="rId94" ref="E50"/>
    <hyperlink r:id="rId95" ref="I50"/>
    <hyperlink r:id="rId96" ref="E51"/>
    <hyperlink r:id="rId97" ref="I51"/>
    <hyperlink r:id="rId98" ref="I52"/>
    <hyperlink r:id="rId99" ref="E53"/>
    <hyperlink r:id="rId100" ref="I53"/>
    <hyperlink r:id="rId101" ref="I54"/>
    <hyperlink r:id="rId102" ref="E55"/>
    <hyperlink r:id="rId103" ref="I55"/>
    <hyperlink r:id="rId104" ref="E56"/>
    <hyperlink r:id="rId105" ref="I56"/>
  </hyperlinks>
  <drawing r:id="rId106"/>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57.88"/>
    <col customWidth="1" min="5" max="5" width="75.5"/>
    <col customWidth="1" min="7" max="7" width="32.88"/>
    <col customWidth="1" min="8" max="8" width="32.63"/>
    <col customWidth="1" min="9" max="9" width="31.38"/>
    <col customWidth="1" min="10" max="10" width="31.63"/>
  </cols>
  <sheetData>
    <row r="1">
      <c r="A1" s="1" t="str">
        <f>IFERROR(__xludf.DUMMYFUNCTION("importrange(""https://docs.google.com/spreadsheets/d/1BTugXR8Fxb6aEMjVC6vHJ0mylGk3H3hzl1O2nSYhHbQ/edit#gid=0"",""GI-L!A1:J150"")"),"TOP")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89" t="str">
        <f>IFERROR(__xludf.DUMMYFUNCTION("""COMPUTED_VALUE"""),"Nova Sigla")</f>
        <v>Nova Sigla</v>
      </c>
      <c r="G1" s="190" t="str">
        <f>IFERROR(__xludf.DUMMYFUNCTION("""COMPUTED_VALUE"""),"Novo Nome")</f>
        <v>Novo Nome</v>
      </c>
      <c r="H1" s="190" t="str">
        <f>IFERROR(__xludf.DUMMYFUNCTION("""COMPUTED_VALUE"""),"Nome Alternativo")</f>
        <v>Nome Alternativo</v>
      </c>
      <c r="I1" s="190" t="str">
        <f>IFERROR(__xludf.DUMMYFUNCTION("""COMPUTED_VALUE"""),"Link da DBLP")</f>
        <v>Link da DBLP</v>
      </c>
      <c r="J1" s="190" t="str">
        <f>IFERROR(__xludf.DUMMYFUNCTION("""COMPUTED_VALUE"""),"Link da SOL")</f>
        <v>Link da SOL</v>
      </c>
    </row>
    <row r="2">
      <c r="A2" s="212" t="str">
        <f>IFERROR(__xludf.DUMMYFUNCTION("""COMPUTED_VALUE"""),"TOP 10")</f>
        <v>TOP 10</v>
      </c>
      <c r="B2" t="str">
        <f>IFERROR(__xludf.DUMMYFUNCTION("""COMPUTED_VALUE"""),"LICS")</f>
        <v>LICS</v>
      </c>
      <c r="C2" t="str">
        <f>IFERROR(__xludf.DUMMYFUNCTION("""COMPUTED_VALUE"""),"ACM/IEEE Symposium on Logic in Computer Science")</f>
        <v>ACM/IEEE Symposium on Logic in Computer Science</v>
      </c>
      <c r="D2">
        <f>IFERROR(__xludf.DUMMYFUNCTION("""COMPUTED_VALUE"""),30.0)</f>
        <v>30</v>
      </c>
      <c r="E2" s="16" t="str">
        <f>IFERROR(__xludf.DUMMYFUNCTION("""COMPUTED_VALUE"""),"https://scholar.google.com.br/citations?hl=en&amp;vq=eng_theoreticalcomputerscience&amp;view_op=list_hcore&amp;venue=5mWbSIB9be8J.2024")</f>
        <v>https://scholar.google.com.br/citations?hl=en&amp;vq=eng_theoreticalcomputerscience&amp;view_op=list_hcore&amp;venue=5mWbSIB9be8J.2024</v>
      </c>
      <c r="I2" s="60" t="str">
        <f>IFERROR(__xludf.DUMMYFUNCTION("""COMPUTED_VALUE"""),"https://dblp.org/db/conf/lics/index")</f>
        <v>https://dblp.org/db/conf/lics/index</v>
      </c>
    </row>
    <row r="3">
      <c r="A3" s="212" t="str">
        <f>IFERROR(__xludf.DUMMYFUNCTION("""COMPUTED_VALUE"""),"TOP 10")</f>
        <v>TOP 10</v>
      </c>
      <c r="B3" t="str">
        <f>IFERROR(__xludf.DUMMYFUNCTION("""COMPUTED_VALUE"""),"CSL")</f>
        <v>CSL</v>
      </c>
      <c r="C3" t="str">
        <f>IFERROR(__xludf.DUMMYFUNCTION("""COMPUTED_VALUE"""),"Computer Science Logic")</f>
        <v>Computer Science Logic</v>
      </c>
      <c r="D3">
        <f>IFERROR(__xludf.DUMMYFUNCTION("""COMPUTED_VALUE"""),16.0)</f>
        <v>16</v>
      </c>
      <c r="E3" s="16" t="str">
        <f>IFERROR(__xludf.DUMMYFUNCTION("""COMPUTED_VALUE"""),"https://scholar.google.com.br/citations?hl=en&amp;view_op=list_hcore&amp;venue=xfuNJ8sxOdEJ.2024")</f>
        <v>https://scholar.google.com.br/citations?hl=en&amp;view_op=list_hcore&amp;venue=xfuNJ8sxOdEJ.2024</v>
      </c>
      <c r="I3" s="60" t="str">
        <f>IFERROR(__xludf.DUMMYFUNCTION("""COMPUTED_VALUE"""),"https://dblp.org/db/conf/csl/index")</f>
        <v>https://dblp.org/db/conf/csl/index</v>
      </c>
    </row>
    <row r="4">
      <c r="A4" s="212" t="str">
        <f>IFERROR(__xludf.DUMMYFUNCTION("""COMPUTED_VALUE"""),"TOP 10")</f>
        <v>TOP 10</v>
      </c>
      <c r="B4" t="str">
        <f>IFERROR(__xludf.DUMMYFUNCTION("""COMPUTED_VALUE"""),"LSFA")</f>
        <v>LSFA</v>
      </c>
      <c r="C4" t="str">
        <f>IFERROR(__xludf.DUMMYFUNCTION("""COMPUTED_VALUE"""),"International Workshop on Logical and Semantic Frameworks, with Applications")</f>
        <v>International Workshop on Logical and Semantic Frameworks, with Applications</v>
      </c>
      <c r="D4">
        <f>IFERROR(__xludf.DUMMYFUNCTION("""COMPUTED_VALUE"""),1.0)</f>
        <v>1</v>
      </c>
      <c r="E4" s="16" t="str">
        <f>IFERROR(__xludf.DUMMYFUNCTION("""COMPUTED_VALUE"""),"https://scholar.google.com/scholar?hl=pt-BR&amp;as_sdt=0%2C5&amp;as_ylo=2020&amp;q=source%3ASemantic+source%3AFrameworks+source%3Awith+source%3AApplications&amp;btnG=")</f>
        <v>https://scholar.google.com/scholar?hl=pt-BR&amp;as_sdt=0%2C5&amp;as_ylo=2020&amp;q=source%3ASemantic+source%3AFrameworks+source%3Awith+source%3AApplications&amp;btnG=</v>
      </c>
      <c r="I4" s="60" t="str">
        <f>IFERROR(__xludf.DUMMYFUNCTION("""COMPUTED_VALUE"""),"https://dblp.org/db/conf/lsfa/index")</f>
        <v>https://dblp.org/db/conf/lsfa/index</v>
      </c>
    </row>
    <row r="5">
      <c r="A5" s="212" t="str">
        <f>IFERROR(__xludf.DUMMYFUNCTION("""COMPUTED_VALUE"""),"TOP 10")</f>
        <v>TOP 10</v>
      </c>
      <c r="B5" t="str">
        <f>IFERROR(__xludf.DUMMYFUNCTION("""COMPUTED_VALUE"""),"FoSSaCS")</f>
        <v>FoSSaCS</v>
      </c>
      <c r="C5" t="str">
        <f>IFERROR(__xludf.DUMMYFUNCTION("""COMPUTED_VALUE"""),"International Conference on Foundations of Software Science and Computation Structures")</f>
        <v>International Conference on Foundations of Software Science and Computation Structures</v>
      </c>
      <c r="D5">
        <f>IFERROR(__xludf.DUMMYFUNCTION("""COMPUTED_VALUE"""),17.0)</f>
        <v>17</v>
      </c>
      <c r="E5" s="16" t="str">
        <f>IFERROR(__xludf.DUMMYFUNCTION("""COMPUTED_VALUE"""),"https://scholar.google.com.br/citations?hl=en&amp;view_op=list_hcore&amp;venue=q-MXMv7GdwAJ.2024")</f>
        <v>https://scholar.google.com.br/citations?hl=en&amp;view_op=list_hcore&amp;venue=q-MXMv7GdwAJ.2024</v>
      </c>
      <c r="I5" s="60" t="str">
        <f>IFERROR(__xludf.DUMMYFUNCTION("""COMPUTED_VALUE"""),"https://dblp.org/db/conf/fossacs/index")</f>
        <v>https://dblp.org/db/conf/fossacs/index</v>
      </c>
    </row>
    <row r="6">
      <c r="A6" s="212" t="str">
        <f>IFERROR(__xludf.DUMMYFUNCTION("""COMPUTED_VALUE"""),"TOP 10")</f>
        <v>TOP 10</v>
      </c>
      <c r="B6" t="str">
        <f>IFERROR(__xludf.DUMMYFUNCTION("""COMPUTED_VALUE"""),"TABLEAUX")</f>
        <v>TABLEAUX</v>
      </c>
      <c r="C6" t="str">
        <f>IFERROR(__xludf.DUMMYFUNCTION("""COMPUTED_VALUE"""),"International Conference on Automated Reasoning with Analytic Tableaux and Related Methods")</f>
        <v>International Conference on Automated Reasoning with Analytic Tableaux and Related Methods</v>
      </c>
      <c r="D6">
        <f>IFERROR(__xludf.DUMMYFUNCTION("""COMPUTED_VALUE"""),11.0)</f>
        <v>11</v>
      </c>
      <c r="E6" s="16" t="str">
        <f>IFERROR(__xludf.DUMMYFUNCTION("""COMPUTED_VALUE"""),"https://scholar.google.com/scholar?hl=pt-BR&amp;as_sdt=0%2C5&amp;as_ylo=2020&amp;q=source%3ATABLEAUX&amp;btnG=")</f>
        <v>https://scholar.google.com/scholar?hl=pt-BR&amp;as_sdt=0%2C5&amp;as_ylo=2020&amp;q=source%3ATABLEAUX&amp;btnG=</v>
      </c>
      <c r="I6" s="60" t="str">
        <f>IFERROR(__xludf.DUMMYFUNCTION("""COMPUTED_VALUE"""),"https://dblp.org/db/conf/tableaux/index")</f>
        <v>https://dblp.org/db/conf/tableaux/index</v>
      </c>
    </row>
    <row r="7">
      <c r="A7" s="212" t="str">
        <f>IFERROR(__xludf.DUMMYFUNCTION("""COMPUTED_VALUE"""),"TOP 10")</f>
        <v>TOP 10</v>
      </c>
      <c r="B7" t="str">
        <f>IFERROR(__xludf.DUMMYFUNCTION("""COMPUTED_VALUE"""),"FSCD")</f>
        <v>FSCD</v>
      </c>
      <c r="C7" t="str">
        <f>IFERROR(__xludf.DUMMYFUNCTION("""COMPUTED_VALUE"""),"International Conference on Formal Structures for Computation and Deduction")</f>
        <v>International Conference on Formal Structures for Computation and Deduction</v>
      </c>
      <c r="D7">
        <f>IFERROR(__xludf.DUMMYFUNCTION("""COMPUTED_VALUE"""),10.0)</f>
        <v>10</v>
      </c>
      <c r="E7" s="16" t="str">
        <f>IFERROR(__xludf.DUMMYFUNCTION("""COMPUTED_VALUE"""),"https://scholar.google.com/scholar?hl=pt-BR&amp;as_sdt=0%2C5&amp;as_ylo=2020&amp;q=source%3AInternational+source%3AConference+source%3Aon+source%3AFormal+source%3AStructures+source%3Afor+source%3AComputation+source%3Aand+source%3ADeduction&amp;btnG=")</f>
        <v>https://scholar.google.com/scholar?hl=pt-BR&amp;as_sdt=0%2C5&amp;as_ylo=2020&amp;q=source%3AInternational+source%3AConference+source%3Aon+source%3AFormal+source%3AStructures+source%3Afor+source%3AComputation+source%3Aand+source%3ADeduction&amp;btnG=</v>
      </c>
      <c r="I7" s="60" t="str">
        <f>IFERROR(__xludf.DUMMYFUNCTION("""COMPUTED_VALUE"""),"https://dblp.org/db/conf/fscd/index")</f>
        <v>https://dblp.org/db/conf/fscd/index</v>
      </c>
    </row>
    <row r="8">
      <c r="A8" s="212" t="str">
        <f>IFERROR(__xludf.DUMMYFUNCTION("""COMPUTED_VALUE"""),"TOP 10")</f>
        <v>TOP 10</v>
      </c>
      <c r="B8" t="str">
        <f>IFERROR(__xludf.DUMMYFUNCTION("""COMPUTED_VALUE"""),"WoLLIC")</f>
        <v>WoLLIC</v>
      </c>
      <c r="C8" t="str">
        <f>IFERROR(__xludf.DUMMYFUNCTION("""COMPUTED_VALUE"""),"Workshop on Logic, Language, Information and Computation")</f>
        <v>Workshop on Logic, Language, Information and Computation</v>
      </c>
      <c r="D8">
        <f>IFERROR(__xludf.DUMMYFUNCTION("""COMPUTED_VALUE"""),12.0)</f>
        <v>12</v>
      </c>
      <c r="E8" s="16" t="str">
        <f>IFERROR(__xludf.DUMMYFUNCTION("""COMPUTED_VALUE"""),"https://scholar.google.com.br/citations?hl=en&amp;view_op=list_hcore&amp;venue=-_yucm7AqqAJ.2024")</f>
        <v>https://scholar.google.com.br/citations?hl=en&amp;view_op=list_hcore&amp;venue=-_yucm7AqqAJ.2024</v>
      </c>
      <c r="I8" s="60" t="str">
        <f>IFERROR(__xludf.DUMMYFUNCTION("""COMPUTED_VALUE"""),"https://dblp.org/db/conf/wollic/index")</f>
        <v>https://dblp.org/db/conf/wollic/index</v>
      </c>
    </row>
    <row r="9">
      <c r="A9" s="212" t="str">
        <f>IFERROR(__xludf.DUMMYFUNCTION("""COMPUTED_VALUE"""),"TOP 10")</f>
        <v>TOP 10</v>
      </c>
      <c r="B9" t="str">
        <f>IFERROR(__xludf.DUMMYFUNCTION("""COMPUTED_VALUE"""),"ICLP")</f>
        <v>ICLP</v>
      </c>
      <c r="C9" t="str">
        <f>IFERROR(__xludf.DUMMYFUNCTION("""COMPUTED_VALUE"""),"International Conference on Logic Programming")</f>
        <v>International Conference on Logic Programming</v>
      </c>
      <c r="D9">
        <f>IFERROR(__xludf.DUMMYFUNCTION("""COMPUTED_VALUE"""),9.0)</f>
        <v>9</v>
      </c>
      <c r="E9" s="16" t="str">
        <f>IFERROR(__xludf.DUMMYFUNCTION("""COMPUTED_VALUE"""),"https://scholar.google.com/scholar?hl=pt-BR&amp;as_sdt=0%2C5&amp;as_ylo=2020&amp;q=source%3AInternational+source%3AConference+source%3Aon+source%3ALogic+source%3AProgramming&amp;btnG=")</f>
        <v>https://scholar.google.com/scholar?hl=pt-BR&amp;as_sdt=0%2C5&amp;as_ylo=2020&amp;q=source%3AInternational+source%3AConference+source%3Aon+source%3ALogic+source%3AProgramming&amp;btnG=</v>
      </c>
      <c r="I9" s="60" t="str">
        <f>IFERROR(__xludf.DUMMYFUNCTION("""COMPUTED_VALUE"""),"https://dblp.org/db/conf/iclp/index.html")</f>
        <v>https://dblp.org/db/conf/iclp/index.html</v>
      </c>
    </row>
    <row r="10">
      <c r="A10" s="212" t="str">
        <f>IFERROR(__xludf.DUMMYFUNCTION("""COMPUTED_VALUE"""),"TOP 10")</f>
        <v>TOP 10</v>
      </c>
      <c r="B10" t="str">
        <f>IFERROR(__xludf.DUMMYFUNCTION("""COMPUTED_VALUE"""),"SOFSEM")</f>
        <v>SOFSEM</v>
      </c>
      <c r="C10" t="str">
        <f>IFERROR(__xludf.DUMMYFUNCTION("""COMPUTED_VALUE"""),"International Conference on Current Trends in Theory and Practice of Computer Science")</f>
        <v>International Conference on Current Trends in Theory and Practice of Computer Science</v>
      </c>
      <c r="D10">
        <f>IFERROR(__xludf.DUMMYFUNCTION("""COMPUTED_VALUE"""),9.0)</f>
        <v>9</v>
      </c>
      <c r="E10" s="16" t="str">
        <f>IFERROR(__xludf.DUMMYFUNCTION("""COMPUTED_VALUE"""),"https://scholar.google.com/scholar?hl=pt-BR&amp;as_sdt=0%2C5&amp;as_ylo=2020&amp;q=source%3ASOFSEM&amp;btnG=&amp;oq=source%3A+SOFSEM")</f>
        <v>https://scholar.google.com/scholar?hl=pt-BR&amp;as_sdt=0%2C5&amp;as_ylo=2020&amp;q=source%3ASOFSEM&amp;btnG=&amp;oq=source%3A+SOFSEM</v>
      </c>
      <c r="I10" s="60" t="str">
        <f>IFERROR(__xludf.DUMMYFUNCTION("""COMPUTED_VALUE"""),"https://dblp.org/db/conf/sofsem/index.html")</f>
        <v>https://dblp.org/db/conf/sofsem/index.html</v>
      </c>
    </row>
    <row r="11">
      <c r="A11" s="212" t="str">
        <f>IFERROR(__xludf.DUMMYFUNCTION("""COMPUTED_VALUE"""),"TOP 10")</f>
        <v>TOP 10</v>
      </c>
      <c r="B11" t="str">
        <f>IFERROR(__xludf.DUMMYFUNCTION("""COMPUTED_VALUE"""),"ICTAC")</f>
        <v>ICTAC</v>
      </c>
      <c r="C11" t="str">
        <f>IFERROR(__xludf.DUMMYFUNCTION("""COMPUTED_VALUE"""),"International Colloquium on Theoretical Aspects of Computing")</f>
        <v>International Colloquium on Theoretical Aspects of Computing</v>
      </c>
      <c r="D11">
        <f>IFERROR(__xludf.DUMMYFUNCTION("""COMPUTED_VALUE"""),10.0)</f>
        <v>10</v>
      </c>
      <c r="E11" s="16" t="str">
        <f>IFERROR(__xludf.DUMMYFUNCTION("""COMPUTED_VALUE"""),"https://scholar.google.com.br/citations?hl=en&amp;view_op=list_hcore&amp;venue=foujqxJmEBEJ.2024")</f>
        <v>https://scholar.google.com.br/citations?hl=en&amp;view_op=list_hcore&amp;venue=foujqxJmEBEJ.2024</v>
      </c>
      <c r="I11" s="60" t="str">
        <f>IFERROR(__xludf.DUMMYFUNCTION("""COMPUTED_VALUE"""),"https://dblp.org/db/conf/ictac/index.html")</f>
        <v>https://dblp.org/db/conf/ictac/index.html</v>
      </c>
    </row>
    <row r="12">
      <c r="A12" s="220" t="str">
        <f>IFERROR(__xludf.DUMMYFUNCTION("""COMPUTED_VALUE"""),"TOP 20")</f>
        <v>TOP 20</v>
      </c>
      <c r="B12" t="str">
        <f>IFERROR(__xludf.DUMMYFUNCTION("""COMPUTED_VALUE"""),"LMCS")</f>
        <v>LMCS</v>
      </c>
      <c r="C12" t="str">
        <f>IFERROR(__xludf.DUMMYFUNCTION("""COMPUTED_VALUE"""),"Logical Methods in Computer Science")</f>
        <v>Logical Methods in Computer Science</v>
      </c>
      <c r="D12">
        <f>IFERROR(__xludf.DUMMYFUNCTION("""COMPUTED_VALUE"""),27.0)</f>
        <v>27</v>
      </c>
      <c r="E12" s="16" t="str">
        <f>IFERROR(__xludf.DUMMYFUNCTION("""COMPUTED_VALUE"""),"https://scholar.google.com.br/citations?hl=en&amp;vq=eng_theoreticalcomputerscience&amp;view_op=list_hcore&amp;venue=uMkIEwVx22wJ.2024")</f>
        <v>https://scholar.google.com.br/citations?hl=en&amp;vq=eng_theoreticalcomputerscience&amp;view_op=list_hcore&amp;venue=uMkIEwVx22wJ.2024</v>
      </c>
      <c r="I12" s="60" t="str">
        <f>IFERROR(__xludf.DUMMYFUNCTION("""COMPUTED_VALUE"""),"https://dblp.org/db/journals/lmcs/index")</f>
        <v>https://dblp.org/db/journals/lmcs/index</v>
      </c>
    </row>
    <row r="13">
      <c r="A13" s="220" t="str">
        <f>IFERROR(__xludf.DUMMYFUNCTION("""COMPUTED_VALUE"""),"TOP 20")</f>
        <v>TOP 20</v>
      </c>
      <c r="B13" t="str">
        <f>IFERROR(__xludf.DUMMYFUNCTION("""COMPUTED_VALUE"""),"SAT")</f>
        <v>SAT</v>
      </c>
      <c r="C13" t="str">
        <f>IFERROR(__xludf.DUMMYFUNCTION("""COMPUTED_VALUE"""),"International Conference on Theory and Applications of Satisfiability Testing")</f>
        <v>International Conference on Theory and Applications of Satisfiability Testing</v>
      </c>
      <c r="D13">
        <f>IFERROR(__xludf.DUMMYFUNCTION("""COMPUTED_VALUE"""),21.0)</f>
        <v>21</v>
      </c>
      <c r="E13" s="16" t="str">
        <f>IFERROR(__xludf.DUMMYFUNCTION("""COMPUTED_VALUE"""),"https://scholar.google.com/citations?hl=en&amp;view_op=list_hcore&amp;venue=Ydp6NbVxpcEJ.2024")</f>
        <v>https://scholar.google.com/citations?hl=en&amp;view_op=list_hcore&amp;venue=Ydp6NbVxpcEJ.2024</v>
      </c>
      <c r="I13" s="60" t="str">
        <f>IFERROR(__xludf.DUMMYFUNCTION("""COMPUTED_VALUE"""),"https://dblp.org/db/conf/sat/index")</f>
        <v>https://dblp.org/db/conf/sat/index</v>
      </c>
    </row>
    <row r="14">
      <c r="A14" s="220" t="str">
        <f>IFERROR(__xludf.DUMMYFUNCTION("""COMPUTED_VALUE"""),"TOP 20")</f>
        <v>TOP 20</v>
      </c>
      <c r="B14" t="str">
        <f>IFERROR(__xludf.DUMMYFUNCTION("""COMPUTED_VALUE"""),"AIML")</f>
        <v>AIML</v>
      </c>
      <c r="C14" t="str">
        <f>IFERROR(__xludf.DUMMYFUNCTION("""COMPUTED_VALUE"""),"Advances in Modal Logic")</f>
        <v>Advances in Modal Logic</v>
      </c>
      <c r="D14">
        <f>IFERROR(__xludf.DUMMYFUNCTION("""COMPUTED_VALUE"""),8.0)</f>
        <v>8</v>
      </c>
      <c r="E14" s="16" t="str">
        <f>IFERROR(__xludf.DUMMYFUNCTION("""COMPUTED_VALUE"""),"https://scholar.google.com/scholar?hl=pt-BR&amp;as_sdt=0%2C5&amp;as_ylo=2020&amp;q=source%3AAIML&amp;btnG=")</f>
        <v>https://scholar.google.com/scholar?hl=pt-BR&amp;as_sdt=0%2C5&amp;as_ylo=2020&amp;q=source%3AAIML&amp;btnG=</v>
      </c>
      <c r="I14" s="60" t="str">
        <f>IFERROR(__xludf.DUMMYFUNCTION("""COMPUTED_VALUE"""),"https://dblp.org/db/conf/aiml/index")</f>
        <v>https://dblp.org/db/conf/aiml/index</v>
      </c>
    </row>
    <row r="15">
      <c r="A15" s="220" t="str">
        <f>IFERROR(__xludf.DUMMYFUNCTION("""COMPUTED_VALUE"""),"TOP 20")</f>
        <v>TOP 20</v>
      </c>
      <c r="B15" t="str">
        <f>IFERROR(__xludf.DUMMYFUNCTION("""COMPUTED_VALUE"""),"FROCOS")</f>
        <v>FROCOS</v>
      </c>
      <c r="C15" t="str">
        <f>IFERROR(__xludf.DUMMYFUNCTION("""COMPUTED_VALUE"""),"International Symposium on Frontiers of Combining System")</f>
        <v>International Symposium on Frontiers of Combining System</v>
      </c>
      <c r="D15">
        <f>IFERROR(__xludf.DUMMYFUNCTION("""COMPUTED_VALUE"""),5.0)</f>
        <v>5</v>
      </c>
      <c r="E15" s="16" t="str">
        <f>IFERROR(__xludf.DUMMYFUNCTION("""COMPUTED_VALUE"""),"https://scholar.google.com/scholar?hl=pt-BR&amp;as_sdt=0%2C5&amp;as_ylo=2020&amp;q=source%3AInternational+source%3ASymposium+source%3Aon+source%3AFrontiers+source%3Aof+source%3ACombining+source%3ASystems&amp;btnG=")</f>
        <v>https://scholar.google.com/scholar?hl=pt-BR&amp;as_sdt=0%2C5&amp;as_ylo=2020&amp;q=source%3AInternational+source%3ASymposium+source%3Aon+source%3AFrontiers+source%3Aof+source%3ACombining+source%3ASystems&amp;btnG=</v>
      </c>
      <c r="I15" s="60" t="str">
        <f>IFERROR(__xludf.DUMMYFUNCTION("""COMPUTED_VALUE"""),"https://dblp.org/db/conf/frocos/index")</f>
        <v>https://dblp.org/db/conf/frocos/index</v>
      </c>
    </row>
    <row r="16">
      <c r="A16" s="220" t="str">
        <f>IFERROR(__xludf.DUMMYFUNCTION("""COMPUTED_VALUE"""),"TOP 20")</f>
        <v>TOP 20</v>
      </c>
      <c r="B16" t="str">
        <f>IFERROR(__xludf.DUMMYFUNCTION("""COMPUTED_VALUE"""),"ESOP")</f>
        <v>ESOP</v>
      </c>
      <c r="C16" t="str">
        <f>IFERROR(__xludf.DUMMYFUNCTION("""COMPUTED_VALUE"""),"European Symposium on Programming")</f>
        <v>European Symposium on Programming</v>
      </c>
      <c r="D16">
        <f>IFERROR(__xludf.DUMMYFUNCTION("""COMPUTED_VALUE"""),23.0)</f>
        <v>23</v>
      </c>
      <c r="E16" s="16" t="str">
        <f>IFERROR(__xludf.DUMMYFUNCTION("""COMPUTED_VALUE"""),"https://scholar.google.com.br/citations?hl=en&amp;view_op=list_hcore&amp;venue=UtpXAOWmk9EJ.2024")</f>
        <v>https://scholar.google.com.br/citations?hl=en&amp;view_op=list_hcore&amp;venue=UtpXAOWmk9EJ.2024</v>
      </c>
      <c r="I16" s="60" t="str">
        <f>IFERROR(__xludf.DUMMYFUNCTION("""COMPUTED_VALUE"""),"https://dblp.org/db/conf/esop/index")</f>
        <v>https://dblp.org/db/conf/esop/index</v>
      </c>
    </row>
    <row r="17">
      <c r="A17" s="220" t="str">
        <f>IFERROR(__xludf.DUMMYFUNCTION("""COMPUTED_VALUE"""),"TOP 20")</f>
        <v>TOP 20</v>
      </c>
      <c r="B17" t="str">
        <f>IFERROR(__xludf.DUMMYFUNCTION("""COMPUTED_VALUE"""),"MFCS")</f>
        <v>MFCS</v>
      </c>
      <c r="C17" t="str">
        <f>IFERROR(__xludf.DUMMYFUNCTION("""COMPUTED_VALUE"""),"International Symposium on Mathematical Foundations of Computer Science")</f>
        <v>International Symposium on Mathematical Foundations of Computer Science</v>
      </c>
      <c r="D17">
        <f>IFERROR(__xludf.DUMMYFUNCTION("""COMPUTED_VALUE"""),19.0)</f>
        <v>19</v>
      </c>
      <c r="E17" s="16" t="str">
        <f>IFERROR(__xludf.DUMMYFUNCTION("""COMPUTED_VALUE"""),"https://scholar.google.com.br/citations?hl=en&amp;view_op=list_hcore&amp;venue=b7Wt8oz6uqAJ.2024")</f>
        <v>https://scholar.google.com.br/citations?hl=en&amp;view_op=list_hcore&amp;venue=b7Wt8oz6uqAJ.2024</v>
      </c>
      <c r="I17" s="60" t="str">
        <f>IFERROR(__xludf.DUMMYFUNCTION("""COMPUTED_VALUE"""),"https://dblp.org/db/conf/mfcs/index.html")</f>
        <v>https://dblp.org/db/conf/mfcs/index.html</v>
      </c>
    </row>
    <row r="18">
      <c r="A18" s="220" t="str">
        <f>IFERROR(__xludf.DUMMYFUNCTION("""COMPUTED_VALUE"""),"TOP 20")</f>
        <v>TOP 20</v>
      </c>
      <c r="B18" t="str">
        <f>IFERROR(__xludf.DUMMYFUNCTION("""COMPUTED_VALUE"""),"ICFP")</f>
        <v>ICFP</v>
      </c>
      <c r="C18" t="str">
        <f>IFERROR(__xludf.DUMMYFUNCTION("""COMPUTED_VALUE"""),"ACM SIGPLAN International Conference on Functional Programming")</f>
        <v>ACM SIGPLAN International Conference on Functional Programming</v>
      </c>
      <c r="D18">
        <f>IFERROR(__xludf.DUMMYFUNCTION("""COMPUTED_VALUE"""),2.0)</f>
        <v>2</v>
      </c>
      <c r="E18" s="16" t="str">
        <f>IFERROR(__xludf.DUMMYFUNCTION("""COMPUTED_VALUE"""),"https://scholar.google.com/scholar?hl=pt-BR&amp;as_sdt=0%2C5&amp;as_ylo=2020&amp;q=source%3AACM+source%3ASIGPLAN+source%3AInternational+source%3AConference+source%3Aon+source%3AFunctional+source%3AProgramming&amp;btnG=")</f>
        <v>https://scholar.google.com/scholar?hl=pt-BR&amp;as_sdt=0%2C5&amp;as_ylo=2020&amp;q=source%3AACM+source%3ASIGPLAN+source%3AInternational+source%3AConference+source%3Aon+source%3AFunctional+source%3AProgramming&amp;btnG=</v>
      </c>
      <c r="I18" s="60" t="str">
        <f>IFERROR(__xludf.DUMMYFUNCTION("""COMPUTED_VALUE"""),"https://dblp.org/db/conf/icfp/index")</f>
        <v>https://dblp.org/db/conf/icfp/index</v>
      </c>
    </row>
    <row r="19">
      <c r="A19" s="220" t="str">
        <f>IFERROR(__xludf.DUMMYFUNCTION("""COMPUTED_VALUE"""),"TOP 20")</f>
        <v>TOP 20</v>
      </c>
      <c r="B19" t="str">
        <f>IFERROR(__xludf.DUMMYFUNCTION("""COMPUTED_VALUE"""),"FLOPS")</f>
        <v>FLOPS</v>
      </c>
      <c r="C19" t="str">
        <f>IFERROR(__xludf.DUMMYFUNCTION("""COMPUTED_VALUE"""),"International Symposium on Functional and Logic Programming")</f>
        <v>International Symposium on Functional and Logic Programming</v>
      </c>
      <c r="D19">
        <f>IFERROR(__xludf.DUMMYFUNCTION("""COMPUTED_VALUE"""),4.0)</f>
        <v>4</v>
      </c>
      <c r="E19" s="16" t="str">
        <f>IFERROR(__xludf.DUMMYFUNCTION("""COMPUTED_VALUE"""),"https://scholar.google.com/scholar?hl=pt-BR&amp;as_sdt=0%2C5&amp;as_ylo=2020&amp;q=source%3AInternational+source%3ASymposium+source%3Aon+source%3AFunctional+source%3Aand+source%3ALogic+source%3AProgramming&amp;btnG=")</f>
        <v>https://scholar.google.com/scholar?hl=pt-BR&amp;as_sdt=0%2C5&amp;as_ylo=2020&amp;q=source%3AInternational+source%3ASymposium+source%3Aon+source%3AFunctional+source%3Aand+source%3ALogic+source%3AProgramming&amp;btnG=</v>
      </c>
      <c r="I19" s="60" t="str">
        <f>IFERROR(__xludf.DUMMYFUNCTION("""COMPUTED_VALUE"""),"https://dblp.org/db/conf/flops/index")</f>
        <v>https://dblp.org/db/conf/flops/index</v>
      </c>
    </row>
    <row r="20">
      <c r="A20" s="220" t="str">
        <f>IFERROR(__xludf.DUMMYFUNCTION("""COMPUTED_VALUE"""),"TOP 20")</f>
        <v>TOP 20</v>
      </c>
      <c r="B20" t="str">
        <f>IFERROR(__xludf.DUMMYFUNCTION("""COMPUTED_VALUE"""),"ICCTCC")</f>
        <v>ICCTCC</v>
      </c>
      <c r="C20" t="str">
        <f>IFERROR(__xludf.DUMMYFUNCTION("""COMPUTED_VALUE"""),"International Conference on Computability Theory, Computability and Complexity")</f>
        <v>International Conference on Computability Theory, Computability and Complexity</v>
      </c>
      <c r="E20" s="16"/>
    </row>
    <row r="21">
      <c r="A21" s="220" t="str">
        <f>IFERROR(__xludf.DUMMYFUNCTION("""COMPUTED_VALUE"""),"TOP 20")</f>
        <v>TOP 20</v>
      </c>
      <c r="B21" t="str">
        <f>IFERROR(__xludf.DUMMYFUNCTION("""COMPUTED_VALUE"""),"IJCAR")</f>
        <v>IJCAR</v>
      </c>
      <c r="C21" t="str">
        <f>IFERROR(__xludf.DUMMYFUNCTION("""COMPUTED_VALUE"""),"International Joint Conference on Automated Reasoning")</f>
        <v>International Joint Conference on Automated Reasoning</v>
      </c>
      <c r="D21">
        <f>IFERROR(__xludf.DUMMYFUNCTION("""COMPUTED_VALUE"""),12.0)</f>
        <v>12</v>
      </c>
      <c r="E21" s="16" t="str">
        <f>IFERROR(__xludf.DUMMYFUNCTION("""COMPUTED_VALUE"""),"https://scholar.google.com/scholar?hl=pt-BR&amp;as_sdt=0%2C5&amp;as_ylo=2020&amp;q=source%3AInternational+source%3AJoint+source%3AConference+source%3Aon+source%3AAutomated+source%3AReasoning&amp;btnG=")</f>
        <v>https://scholar.google.com/scholar?hl=pt-BR&amp;as_sdt=0%2C5&amp;as_ylo=2020&amp;q=source%3AInternational+source%3AJoint+source%3AConference+source%3Aon+source%3AAutomated+source%3AReasoning&amp;btnG=</v>
      </c>
      <c r="I21" s="60" t="str">
        <f>IFERROR(__xludf.DUMMYFUNCTION("""COMPUTED_VALUE"""),"https://dblp.org/db/conf/ijcar/index")</f>
        <v>https://dblp.org/db/conf/ijcar/index</v>
      </c>
    </row>
    <row r="22">
      <c r="A22" s="68" t="str">
        <f>IFERROR(__xludf.DUMMYFUNCTION("""COMPUTED_VALUE"""),"Eventos da área")</f>
        <v>Eventos da área</v>
      </c>
      <c r="B22" t="str">
        <f>IFERROR(__xludf.DUMMYFUNCTION("""COMPUTED_VALUE"""),"WBL")</f>
        <v>WBL</v>
      </c>
      <c r="C22" t="str">
        <f>IFERROR(__xludf.DUMMYFUNCTION("""COMPUTED_VALUE"""),"Workshop Brasileiro de Lógica")</f>
        <v>Workshop Brasileiro de Lógica</v>
      </c>
      <c r="D22">
        <f>IFERROR(__xludf.DUMMYFUNCTION("""COMPUTED_VALUE"""),1.0)</f>
        <v>1</v>
      </c>
      <c r="E22" s="16" t="str">
        <f>IFERROR(__xludf.DUMMYFUNCTION("""COMPUTED_VALUE"""),"https://scholar.google.com/scholar?hl=pt-BR&amp;as_sdt=0%2C5&amp;as_ylo=2020&amp;q=source%3AWorkshop+source%3ABrasileiro+source%3Ade+source%3AL%C3%B3gica&amp;btnG=")</f>
        <v>https://scholar.google.com/scholar?hl=pt-BR&amp;as_sdt=0%2C5&amp;as_ylo=2020&amp;q=source%3AWorkshop+source%3ABrasileiro+source%3Ade+source%3AL%C3%B3gica&amp;btnG=</v>
      </c>
      <c r="I22" s="60" t="str">
        <f>IFERROR(__xludf.DUMMYFUNCTION("""COMPUTED_VALUE"""),"https://sol.sbc.org.br/index.php/wbl")</f>
        <v>https://sol.sbc.org.br/index.php/wbl</v>
      </c>
    </row>
    <row r="23">
      <c r="A23" s="68"/>
      <c r="E23" s="16"/>
    </row>
    <row r="24">
      <c r="A24" s="68"/>
    </row>
    <row r="25">
      <c r="A25" s="68"/>
    </row>
    <row r="26">
      <c r="A26" s="68"/>
    </row>
    <row r="27">
      <c r="A27" s="68"/>
    </row>
    <row r="28">
      <c r="A28" s="68"/>
    </row>
    <row r="29">
      <c r="A29" s="68"/>
    </row>
    <row r="30">
      <c r="A30" s="68"/>
    </row>
    <row r="31">
      <c r="A31" s="68"/>
    </row>
    <row r="32">
      <c r="A32" s="68"/>
    </row>
    <row r="33">
      <c r="A33" s="68"/>
    </row>
    <row r="34">
      <c r="A34" s="68"/>
    </row>
    <row r="35">
      <c r="A35" s="68"/>
    </row>
    <row r="36">
      <c r="A36" s="68"/>
    </row>
    <row r="37">
      <c r="A37" s="68"/>
    </row>
    <row r="38">
      <c r="A38" s="68"/>
    </row>
    <row r="39">
      <c r="A39" s="68"/>
    </row>
    <row r="40">
      <c r="A40" s="68"/>
    </row>
    <row r="41">
      <c r="A41" s="68"/>
    </row>
    <row r="42">
      <c r="A42" s="68"/>
    </row>
    <row r="43">
      <c r="A43" s="68"/>
    </row>
    <row r="44">
      <c r="A44" s="68"/>
    </row>
    <row r="45">
      <c r="A45" s="68"/>
    </row>
    <row r="46">
      <c r="A46" s="68"/>
    </row>
    <row r="47">
      <c r="A47" s="68"/>
    </row>
    <row r="48">
      <c r="A48" s="68"/>
    </row>
    <row r="49">
      <c r="A49" s="68"/>
    </row>
    <row r="50">
      <c r="A50" s="68"/>
    </row>
    <row r="51">
      <c r="A51" s="68"/>
    </row>
    <row r="52">
      <c r="A52" s="68"/>
    </row>
    <row r="53">
      <c r="A53" s="68"/>
    </row>
    <row r="54">
      <c r="A54" s="68"/>
    </row>
    <row r="55">
      <c r="A55" s="68"/>
    </row>
    <row r="56">
      <c r="A56" s="68"/>
    </row>
    <row r="57">
      <c r="A57" s="68"/>
    </row>
    <row r="58">
      <c r="A58" s="68"/>
    </row>
    <row r="59">
      <c r="A59" s="68"/>
    </row>
    <row r="60">
      <c r="A60" s="68"/>
    </row>
    <row r="61">
      <c r="A61" s="68"/>
    </row>
    <row r="62">
      <c r="A62" s="68"/>
    </row>
    <row r="63">
      <c r="A63" s="68"/>
    </row>
    <row r="64">
      <c r="A64" s="68"/>
    </row>
    <row r="65">
      <c r="A65" s="68"/>
    </row>
    <row r="66">
      <c r="A66" s="68"/>
    </row>
    <row r="67">
      <c r="A67" s="68"/>
    </row>
    <row r="68">
      <c r="A68" s="68"/>
    </row>
    <row r="69">
      <c r="A69" s="68"/>
    </row>
    <row r="70">
      <c r="A70" s="68"/>
    </row>
    <row r="71">
      <c r="A71" s="68"/>
    </row>
    <row r="72">
      <c r="A72" s="68"/>
    </row>
    <row r="73">
      <c r="A73" s="68"/>
    </row>
    <row r="74">
      <c r="A74" s="68"/>
    </row>
    <row r="75">
      <c r="A75" s="68"/>
    </row>
    <row r="76">
      <c r="A76" s="68"/>
    </row>
    <row r="77">
      <c r="A77" s="68"/>
    </row>
    <row r="78">
      <c r="A78" s="68"/>
    </row>
    <row r="79">
      <c r="A79" s="68"/>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E10"/>
    <hyperlink r:id="rId18" ref="I10"/>
    <hyperlink r:id="rId19" ref="E11"/>
    <hyperlink r:id="rId20" ref="I11"/>
    <hyperlink r:id="rId21" ref="E12"/>
    <hyperlink r:id="rId22" ref="I12"/>
    <hyperlink r:id="rId23" ref="E13"/>
    <hyperlink r:id="rId24" ref="I13"/>
    <hyperlink r:id="rId25" ref="E14"/>
    <hyperlink r:id="rId26" ref="I14"/>
    <hyperlink r:id="rId27" ref="E15"/>
    <hyperlink r:id="rId28" ref="I15"/>
    <hyperlink r:id="rId29" ref="E16"/>
    <hyperlink r:id="rId30" ref="I16"/>
    <hyperlink r:id="rId31" ref="E17"/>
    <hyperlink r:id="rId32" ref="I17"/>
    <hyperlink r:id="rId33" ref="E18"/>
    <hyperlink r:id="rId34" ref="I18"/>
    <hyperlink r:id="rId35" ref="E19"/>
    <hyperlink r:id="rId36" ref="I19"/>
    <hyperlink r:id="rId37" ref="E21"/>
    <hyperlink r:id="rId38" ref="I21"/>
    <hyperlink r:id="rId39" ref="E22"/>
    <hyperlink r:id="rId40" ref="I22"/>
  </hyperlinks>
  <drawing r:id="rId41"/>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5" max="5" width="70.0"/>
    <col customWidth="1" min="7" max="7" width="30.88"/>
    <col customWidth="1" min="8" max="8" width="26.5"/>
    <col customWidth="1" min="9" max="9" width="32.5"/>
    <col customWidth="1" min="10" max="10" width="33.38"/>
  </cols>
  <sheetData>
    <row r="1">
      <c r="A1" s="1" t="str">
        <f>IFERROR(__xludf.DUMMYFUNCTION("importrange(""https://docs.google.com/spreadsheets/d/1tFmxUjEEqo2cbIxqaRT2G6xPepUPkWuvKXmfqninWkw/edit#gid=1241066271"",""CE-Educomp!A1:J200"")"),"TOP")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89" t="str">
        <f>IFERROR(__xludf.DUMMYFUNCTION("""COMPUTED_VALUE"""),"Nova Sigla")</f>
        <v>Nova Sigla</v>
      </c>
      <c r="G1" s="190" t="str">
        <f>IFERROR(__xludf.DUMMYFUNCTION("""COMPUTED_VALUE"""),"Novo Nome")</f>
        <v>Novo Nome</v>
      </c>
      <c r="H1" s="190" t="str">
        <f>IFERROR(__xludf.DUMMYFUNCTION("""COMPUTED_VALUE"""),"Nome Alternativo")</f>
        <v>Nome Alternativo</v>
      </c>
      <c r="I1" s="190" t="str">
        <f>IFERROR(__xludf.DUMMYFUNCTION("""COMPUTED_VALUE"""),"Link da DBLP")</f>
        <v>Link da DBLP</v>
      </c>
      <c r="J1" s="190" t="str">
        <f>IFERROR(__xludf.DUMMYFUNCTION("""COMPUTED_VALUE"""),"Link da SOL")</f>
        <v>Link da SOL</v>
      </c>
    </row>
    <row r="2">
      <c r="A2" s="212" t="str">
        <f>IFERROR(__xludf.DUMMYFUNCTION("""COMPUTED_VALUE"""),"TOP10")</f>
        <v>TOP10</v>
      </c>
      <c r="B2" t="str">
        <f>IFERROR(__xludf.DUMMYFUNCTION("""COMPUTED_VALUE"""),"ICER")</f>
        <v>ICER</v>
      </c>
      <c r="C2" t="str">
        <f>IFERROR(__xludf.DUMMYFUNCTION("""COMPUTED_VALUE"""),"ACM Conference on International Computing Education Research")</f>
        <v>ACM Conference on International Computing Education Research</v>
      </c>
      <c r="D2">
        <f>IFERROR(__xludf.DUMMYFUNCTION("""COMPUTED_VALUE"""),32.0)</f>
        <v>32</v>
      </c>
      <c r="E2" s="16" t="str">
        <f>IFERROR(__xludf.DUMMYFUNCTION("""COMPUTED_VALUE"""),"https://scholar.google.com/citations?hl=en&amp;view_op=list_hcore&amp;venue=v0xCU4OEvKUJ.2024")</f>
        <v>https://scholar.google.com/citations?hl=en&amp;view_op=list_hcore&amp;venue=v0xCU4OEvKUJ.2024</v>
      </c>
      <c r="I2" s="60" t="str">
        <f>IFERROR(__xludf.DUMMYFUNCTION("""COMPUTED_VALUE"""),"https://dblp.org/db/conf/icer/index.html")</f>
        <v>https://dblp.org/db/conf/icer/index.html</v>
      </c>
    </row>
    <row r="3">
      <c r="A3" s="212" t="str">
        <f>IFERROR(__xludf.DUMMYFUNCTION("""COMPUTED_VALUE"""),"TOP10")</f>
        <v>TOP10</v>
      </c>
      <c r="B3" t="str">
        <f>IFERROR(__xludf.DUMMYFUNCTION("""COMPUTED_VALUE"""),"SIGCSE")</f>
        <v>SIGCSE</v>
      </c>
      <c r="C3" t="str">
        <f>IFERROR(__xludf.DUMMYFUNCTION("""COMPUTED_VALUE"""),"ACM Technical Symposium on Computer Science Education")</f>
        <v>ACM Technical Symposium on Computer Science Education</v>
      </c>
      <c r="D3">
        <f>IFERROR(__xludf.DUMMYFUNCTION("""COMPUTED_VALUE"""),47.0)</f>
        <v>47</v>
      </c>
      <c r="E3" s="16" t="str">
        <f>IFERROR(__xludf.DUMMYFUNCTION("""COMPUTED_VALUE"""),"https://scholar.google.com/citations?hl=en&amp;view_op=list_hcore&amp;venue=rrlriATuz7wJ.2024")</f>
        <v>https://scholar.google.com/citations?hl=en&amp;view_op=list_hcore&amp;venue=rrlriATuz7wJ.2024</v>
      </c>
      <c r="I3" s="60" t="str">
        <f>IFERROR(__xludf.DUMMYFUNCTION("""COMPUTED_VALUE"""),"https://dblp.org/db/conf/sigcse/index.html")</f>
        <v>https://dblp.org/db/conf/sigcse/index.html</v>
      </c>
    </row>
    <row r="4">
      <c r="A4" s="212" t="str">
        <f>IFERROR(__xludf.DUMMYFUNCTION("""COMPUTED_VALUE"""),"TOP10")</f>
        <v>TOP10</v>
      </c>
      <c r="B4" t="str">
        <f>IFERROR(__xludf.DUMMYFUNCTION("""COMPUTED_VALUE"""),"ITICSE")</f>
        <v>ITICSE</v>
      </c>
      <c r="C4" t="str">
        <f>IFERROR(__xludf.DUMMYFUNCTION("""COMPUTED_VALUE"""),"ACM Conference on Innovation and Technology in Computer Science Education")</f>
        <v>ACM Conference on Innovation and Technology in Computer Science Education</v>
      </c>
      <c r="D4">
        <f>IFERROR(__xludf.DUMMYFUNCTION("""COMPUTED_VALUE"""),35.0)</f>
        <v>35</v>
      </c>
      <c r="E4" s="16" t="str">
        <f>IFERROR(__xludf.DUMMYFUNCTION("""COMPUTED_VALUE"""),"https://scholar.google.com/citations?hl=en&amp;view_op=list_hcore&amp;venue=68UDAZLIQo8J.2024")</f>
        <v>https://scholar.google.com/citations?hl=en&amp;view_op=list_hcore&amp;venue=68UDAZLIQo8J.2024</v>
      </c>
      <c r="I4" s="60" t="str">
        <f>IFERROR(__xludf.DUMMYFUNCTION("""COMPUTED_VALUE"""),"https://dblp.org/db/conf/iticse/index.html")</f>
        <v>https://dblp.org/db/conf/iticse/index.html</v>
      </c>
    </row>
    <row r="5">
      <c r="A5" s="212" t="str">
        <f>IFERROR(__xludf.DUMMYFUNCTION("""COMPUTED_VALUE"""),"TOP10")</f>
        <v>TOP10</v>
      </c>
      <c r="B5" t="str">
        <f>IFERROR(__xludf.DUMMYFUNCTION("""COMPUTED_VALUE"""),"Koli Calling")</f>
        <v>Koli Calling</v>
      </c>
      <c r="C5" t="str">
        <f>IFERROR(__xludf.DUMMYFUNCTION("""COMPUTED_VALUE"""),"Koli Calling International Conference on Computing Education Research")</f>
        <v>Koli Calling International Conference on Computing Education Research</v>
      </c>
      <c r="D5">
        <f>IFERROR(__xludf.DUMMYFUNCTION("""COMPUTED_VALUE"""),17.0)</f>
        <v>17</v>
      </c>
      <c r="E5" s="16" t="str">
        <f>IFERROR(__xludf.DUMMYFUNCTION("""COMPUTED_VALUE"""),"https://scholar.google.com/citations?hl=en&amp;view_op=list_hcore&amp;venue=S2ws2k7Clq8J.2024")</f>
        <v>https://scholar.google.com/citations?hl=en&amp;view_op=list_hcore&amp;venue=S2ws2k7Clq8J.2024</v>
      </c>
      <c r="I5" s="60" t="str">
        <f>IFERROR(__xludf.DUMMYFUNCTION("""COMPUTED_VALUE"""),"https://dblp.org/db/conf/kolicalling/index.html")</f>
        <v>https://dblp.org/db/conf/kolicalling/index.html</v>
      </c>
    </row>
    <row r="6">
      <c r="A6" s="212" t="str">
        <f>IFERROR(__xludf.DUMMYFUNCTION("""COMPUTED_VALUE"""),"TOP10")</f>
        <v>TOP10</v>
      </c>
      <c r="B6" t="str">
        <f>IFERROR(__xludf.DUMMYFUNCTION("""COMPUTED_VALUE"""),"EDUCON")</f>
        <v>EDUCON</v>
      </c>
      <c r="C6" t="str">
        <f>IFERROR(__xludf.DUMMYFUNCTION("""COMPUTED_VALUE"""),"IEEE Global Engineering Education Conference")</f>
        <v>IEEE Global Engineering Education Conference</v>
      </c>
      <c r="D6">
        <f>IFERROR(__xludf.DUMMYFUNCTION("""COMPUTED_VALUE"""),32.0)</f>
        <v>32</v>
      </c>
      <c r="E6" s="16" t="str">
        <f>IFERROR(__xludf.DUMMYFUNCTION("""COMPUTED_VALUE"""),"https://scholar.google.com/citations?hl=en&amp;view_op=list_hcore&amp;venue=oWx0DwbR58MJ.2024")</f>
        <v>https://scholar.google.com/citations?hl=en&amp;view_op=list_hcore&amp;venue=oWx0DwbR58MJ.2024</v>
      </c>
      <c r="I6" s="60" t="str">
        <f>IFERROR(__xludf.DUMMYFUNCTION("""COMPUTED_VALUE"""),"https://dblp.org/db/conf/educon/index.html")</f>
        <v>https://dblp.org/db/conf/educon/index.html</v>
      </c>
    </row>
    <row r="7">
      <c r="A7" s="212" t="str">
        <f>IFERROR(__xludf.DUMMYFUNCTION("""COMPUTED_VALUE"""),"TOP10")</f>
        <v>TOP10</v>
      </c>
      <c r="B7" t="str">
        <f>IFERROR(__xludf.DUMMYFUNCTION("""COMPUTED_VALUE"""),"FIE")</f>
        <v>FIE</v>
      </c>
      <c r="C7" t="str">
        <f>IFERROR(__xludf.DUMMYFUNCTION("""COMPUTED_VALUE"""),"IEEE Frontiers in Education Conference")</f>
        <v>IEEE Frontiers in Education Conference</v>
      </c>
      <c r="D7">
        <f>IFERROR(__xludf.DUMMYFUNCTION("""COMPUTED_VALUE"""),26.0)</f>
        <v>26</v>
      </c>
      <c r="E7" s="16" t="str">
        <f>IFERROR(__xludf.DUMMYFUNCTION("""COMPUTED_VALUE"""),"https://scholar.google.com/citations?hl=en&amp;view_op=list_hcore&amp;venue=G1RhimMOm2wJ.2024")</f>
        <v>https://scholar.google.com/citations?hl=en&amp;view_op=list_hcore&amp;venue=G1RhimMOm2wJ.2024</v>
      </c>
      <c r="I7" s="60" t="str">
        <f>IFERROR(__xludf.DUMMYFUNCTION("""COMPUTED_VALUE"""),"https://dblp.org/db/conf/fie/index.html")</f>
        <v>https://dblp.org/db/conf/fie/index.html</v>
      </c>
    </row>
    <row r="8">
      <c r="A8" s="212" t="str">
        <f>IFERROR(__xludf.DUMMYFUNCTION("""COMPUTED_VALUE"""),"TOP10")</f>
        <v>TOP10</v>
      </c>
      <c r="B8" t="str">
        <f>IFERROR(__xludf.DUMMYFUNCTION("""COMPUTED_VALUE"""),"WiPCSE")</f>
        <v>WiPCSE</v>
      </c>
      <c r="C8" t="str">
        <f>IFERROR(__xludf.DUMMYFUNCTION("""COMPUTED_VALUE"""),"Workshop in Primary and Secondary Computing Education")</f>
        <v>Workshop in Primary and Secondary Computing Education</v>
      </c>
      <c r="D8">
        <f>IFERROR(__xludf.DUMMYFUNCTION("""COMPUTED_VALUE"""),14.0)</f>
        <v>14</v>
      </c>
      <c r="E8" s="16" t="str">
        <f>IFERROR(__xludf.DUMMYFUNCTION("""COMPUTED_VALUE"""),"https://scholar.google.com/citations?hl=en&amp;view_op=list_hcore&amp;venue=_PA-cm4C5M8J.2024")</f>
        <v>https://scholar.google.com/citations?hl=en&amp;view_op=list_hcore&amp;venue=_PA-cm4C5M8J.2024</v>
      </c>
      <c r="I8" s="60" t="str">
        <f>IFERROR(__xludf.DUMMYFUNCTION("""COMPUTED_VALUE"""),"https://dblp.org/db/conf/wipsce/index.html")</f>
        <v>https://dblp.org/db/conf/wipsce/index.html</v>
      </c>
    </row>
    <row r="9">
      <c r="A9" s="212" t="str">
        <f>IFERROR(__xludf.DUMMYFUNCTION("""COMPUTED_VALUE"""),"TOP10")</f>
        <v>TOP10</v>
      </c>
      <c r="B9" t="str">
        <f>IFERROR(__xludf.DUMMYFUNCTION("""COMPUTED_VALUE"""),"WEI")</f>
        <v>WEI</v>
      </c>
      <c r="C9" t="str">
        <f>IFERROR(__xludf.DUMMYFUNCTION("""COMPUTED_VALUE"""),"Workshop sobre Educação em Computação")</f>
        <v>Workshop sobre Educação em Computação</v>
      </c>
      <c r="D9">
        <f>IFERROR(__xludf.DUMMYFUNCTION("""COMPUTED_VALUE"""),11.0)</f>
        <v>11</v>
      </c>
      <c r="E9" s="16" t="str">
        <f>IFERROR(__xludf.DUMMYFUNCTION("""COMPUTED_VALUE"""),"https://scholar.google.com/citations?hl=en&amp;view_op=list_hcore&amp;venue=-eLSF6KffKgJ.2024")</f>
        <v>https://scholar.google.com/citations?hl=en&amp;view_op=list_hcore&amp;venue=-eLSF6KffKgJ.2024</v>
      </c>
      <c r="J9" s="60" t="str">
        <f>IFERROR(__xludf.DUMMYFUNCTION("""COMPUTED_VALUE"""),"https://sol.sbc.org.br/index.php/wei")</f>
        <v>https://sol.sbc.org.br/index.php/wei</v>
      </c>
    </row>
    <row r="10">
      <c r="A10" s="212" t="str">
        <f>IFERROR(__xludf.DUMMYFUNCTION("""COMPUTED_VALUE"""),"TOP10")</f>
        <v>TOP10</v>
      </c>
      <c r="B10" t="str">
        <f>IFERROR(__xludf.DUMMYFUNCTION("""COMPUTED_VALUE"""),"SBIE")</f>
        <v>SBIE</v>
      </c>
      <c r="C10" t="str">
        <f>IFERROR(__xludf.DUMMYFUNCTION("""COMPUTED_VALUE"""),"Simpósio Brasileiro de Informática na Educação")</f>
        <v>Simpósio Brasileiro de Informática na Educação</v>
      </c>
      <c r="D10">
        <f>IFERROR(__xludf.DUMMYFUNCTION("""COMPUTED_VALUE"""),12.0)</f>
        <v>12</v>
      </c>
      <c r="E10" s="16" t="str">
        <f>IFERROR(__xludf.DUMMYFUNCTION("""COMPUTED_VALUE"""),"https://scholar.google.com/citations?hl=en&amp;view_op=list_hcore&amp;venue=DMcB-6XAVukJ.2024")</f>
        <v>https://scholar.google.com/citations?hl=en&amp;view_op=list_hcore&amp;venue=DMcB-6XAVukJ.2024</v>
      </c>
      <c r="J10" s="60" t="str">
        <f>IFERROR(__xludf.DUMMYFUNCTION("""COMPUTED_VALUE"""),"https://sol.sbc.org.br/index.php/sbie")</f>
        <v>https://sol.sbc.org.br/index.php/sbie</v>
      </c>
    </row>
    <row r="11">
      <c r="A11" s="212" t="str">
        <f>IFERROR(__xludf.DUMMYFUNCTION("""COMPUTED_VALUE"""),"TOP10")</f>
        <v>TOP10</v>
      </c>
      <c r="B11" t="str">
        <f>IFERROR(__xludf.DUMMYFUNCTION("""COMPUTED_VALUE"""),"EduComp")</f>
        <v>EduComp</v>
      </c>
      <c r="C11" t="str">
        <f>IFERROR(__xludf.DUMMYFUNCTION("""COMPUTED_VALUE"""),"Simpósio Brasileiro de Educação em Computação")</f>
        <v>Simpósio Brasileiro de Educação em Computação</v>
      </c>
      <c r="D11">
        <f>IFERROR(__xludf.DUMMYFUNCTION("""COMPUTED_VALUE"""),7.0)</f>
        <v>7</v>
      </c>
      <c r="E11" s="16" t="str">
        <f>IFERROR(__xludf.DUMMYFUNCTION("""COMPUTED_VALUE"""),"https://scholar.google.com/citations?hl=en&amp;view_op=list_hcore&amp;venue=9d69RZLoOs8J.2024")</f>
        <v>https://scholar.google.com/citations?hl=en&amp;view_op=list_hcore&amp;venue=9d69RZLoOs8J.2024</v>
      </c>
      <c r="J11" s="60" t="str">
        <f>IFERROR(__xludf.DUMMYFUNCTION("""COMPUTED_VALUE"""),"https://sol.sbc.org.br/index.php/educomp")</f>
        <v>https://sol.sbc.org.br/index.php/educomp</v>
      </c>
    </row>
    <row r="12">
      <c r="A12" s="229" t="str">
        <f>IFERROR(__xludf.DUMMYFUNCTION("""COMPUTED_VALUE"""),"TOP 20")</f>
        <v>TOP 20</v>
      </c>
      <c r="B12" t="str">
        <f>IFERROR(__xludf.DUMMYFUNCTION("""COMPUTED_VALUE"""),"CSEDU")</f>
        <v>CSEDU</v>
      </c>
      <c r="C12" t="str">
        <f>IFERROR(__xludf.DUMMYFUNCTION("""COMPUTED_VALUE"""),"International Conference on Computer Supported Education")</f>
        <v>International Conference on Computer Supported Education</v>
      </c>
      <c r="D12">
        <f>IFERROR(__xludf.DUMMYFUNCTION("""COMPUTED_VALUE"""),21.0)</f>
        <v>21</v>
      </c>
      <c r="E12" s="16" t="str">
        <f>IFERROR(__xludf.DUMMYFUNCTION("""COMPUTED_VALUE"""),"https://scholar.google.com/citations?hl=en&amp;view_op=list_hcore&amp;venue=nzz9FASca4MJ.2024")</f>
        <v>https://scholar.google.com/citations?hl=en&amp;view_op=list_hcore&amp;venue=nzz9FASca4MJ.2024</v>
      </c>
      <c r="I12" s="60" t="str">
        <f>IFERROR(__xludf.DUMMYFUNCTION("""COMPUTED_VALUE"""),"https://dblp.org/db/conf/csedu/index.html")</f>
        <v>https://dblp.org/db/conf/csedu/index.html</v>
      </c>
    </row>
    <row r="13">
      <c r="A13" s="229" t="str">
        <f>IFERROR(__xludf.DUMMYFUNCTION("""COMPUTED_VALUE"""),"TOP 20")</f>
        <v>TOP 20</v>
      </c>
      <c r="B13" t="str">
        <f>IFERROR(__xludf.DUMMYFUNCTION("""COMPUTED_VALUE"""),"ICSE")</f>
        <v>ICSE</v>
      </c>
      <c r="C13" t="str">
        <f>IFERROR(__xludf.DUMMYFUNCTION("""COMPUTED_VALUE"""),"ACM International Conference on Software Engineering: Software Engineering Education and Training")</f>
        <v>ACM International Conference on Software Engineering: Software Engineering Education and Training</v>
      </c>
      <c r="D13">
        <f>IFERROR(__xludf.DUMMYFUNCTION("""COMPUTED_VALUE"""),21.0)</f>
        <v>21</v>
      </c>
      <c r="E13" s="16" t="str">
        <f>IFERROR(__xludf.DUMMYFUNCTION("""COMPUTED_VALUE"""),"https://scholar.google.com/citations?hl=en&amp;view_op=list_hcore&amp;venue=yIZ19I9U66oJ.2024")</f>
        <v>https://scholar.google.com/citations?hl=en&amp;view_op=list_hcore&amp;venue=yIZ19I9U66oJ.2024</v>
      </c>
      <c r="I13" s="60" t="str">
        <f>IFERROR(__xludf.DUMMYFUNCTION("""COMPUTED_VALUE"""),"https://dblp.org/db/conf/icse/index.html")</f>
        <v>https://dblp.org/db/conf/icse/index.html</v>
      </c>
    </row>
    <row r="14">
      <c r="A14" s="229" t="str">
        <f>IFERROR(__xludf.DUMMYFUNCTION("""COMPUTED_VALUE"""),"TOP 20")</f>
        <v>TOP 20</v>
      </c>
      <c r="B14" t="str">
        <f>IFERROR(__xludf.DUMMYFUNCTION("""COMPUTED_VALUE"""),"ACE")</f>
        <v>ACE</v>
      </c>
      <c r="C14" t="str">
        <f>IFERROR(__xludf.DUMMYFUNCTION("""COMPUTED_VALUE"""),"The Australasian Computing Education Conference")</f>
        <v>The Australasian Computing Education Conference</v>
      </c>
      <c r="D14">
        <f>IFERROR(__xludf.DUMMYFUNCTION("""COMPUTED_VALUE"""),22.0)</f>
        <v>22</v>
      </c>
      <c r="E14" s="16" t="str">
        <f>IFERROR(__xludf.DUMMYFUNCTION("""COMPUTED_VALUE"""),"https://scholar.google.com/citations?hl=en&amp;view_op=list_hcore&amp;venue=6Ym19ArjjigJ.2024")</f>
        <v>https://scholar.google.com/citations?hl=en&amp;view_op=list_hcore&amp;venue=6Ym19ArjjigJ.2024</v>
      </c>
      <c r="I14" s="60" t="str">
        <f>IFERROR(__xludf.DUMMYFUNCTION("""COMPUTED_VALUE"""),"https://dblp.org/db/conf/ace/index.html")</f>
        <v>https://dblp.org/db/conf/ace/index.html</v>
      </c>
    </row>
    <row r="15">
      <c r="A15" s="229" t="str">
        <f>IFERROR(__xludf.DUMMYFUNCTION("""COMPUTED_VALUE"""),"TOP 20")</f>
        <v>TOP 20</v>
      </c>
      <c r="B15" t="str">
        <f>IFERROR(__xludf.DUMMYFUNCTION("""COMPUTED_VALUE"""),"ICSE-SEET")</f>
        <v>ICSE-SEET</v>
      </c>
      <c r="C15" t="str">
        <f>IFERROR(__xludf.DUMMYFUNCTION("""COMPUTED_VALUE"""),"Software Engineering Education and Training of ICSE")</f>
        <v>Software Engineering Education and Training of ICSE</v>
      </c>
      <c r="D15">
        <f>IFERROR(__xludf.DUMMYFUNCTION("""COMPUTED_VALUE"""),21.0)</f>
        <v>21</v>
      </c>
      <c r="E15" s="16" t="str">
        <f>IFERROR(__xludf.DUMMYFUNCTION("""COMPUTED_VALUE"""),"https://scholar.google.com/citations?hl=en&amp;view_op=list_hcore&amp;venue=yIZ19I9U66oJ.2024")</f>
        <v>https://scholar.google.com/citations?hl=en&amp;view_op=list_hcore&amp;venue=yIZ19I9U66oJ.2024</v>
      </c>
    </row>
    <row r="16">
      <c r="A16" s="229" t="str">
        <f>IFERROR(__xludf.DUMMYFUNCTION("""COMPUTED_VALUE"""),"TOP 20")</f>
        <v>TOP 20</v>
      </c>
      <c r="B16" t="str">
        <f>IFERROR(__xludf.DUMMYFUNCTION("""COMPUTED_VALUE"""),"CSEE&amp;T")</f>
        <v>CSEE&amp;T</v>
      </c>
      <c r="C16" t="str">
        <f>IFERROR(__xludf.DUMMYFUNCTION("""COMPUTED_VALUE"""),"Conference on Software Engineering Education and Training")</f>
        <v>Conference on Software Engineering Education and Training</v>
      </c>
      <c r="D16">
        <f>IFERROR(__xludf.DUMMYFUNCTION("""COMPUTED_VALUE"""),9.0)</f>
        <v>9</v>
      </c>
      <c r="E16" s="16" t="str">
        <f>IFERROR(__xludf.DUMMYFUNCTION("""COMPUTED_VALUE"""),"https://scholar.google.com/citations?hl=en&amp;view_op=list_hcore&amp;venue=muJqO5o5bdUJ.2024")</f>
        <v>https://scholar.google.com/citations?hl=en&amp;view_op=list_hcore&amp;venue=muJqO5o5bdUJ.2024</v>
      </c>
    </row>
    <row r="17">
      <c r="A17" s="229" t="str">
        <f>IFERROR(__xludf.DUMMYFUNCTION("""COMPUTED_VALUE"""),"TOP 20")</f>
        <v>TOP 20</v>
      </c>
      <c r="B17" t="str">
        <f>IFERROR(__xludf.DUMMYFUNCTION("""COMPUTED_VALUE"""),"CompEd")</f>
        <v>CompEd</v>
      </c>
      <c r="C17" t="str">
        <f>IFERROR(__xludf.DUMMYFUNCTION("""COMPUTED_VALUE"""),"ACM Conference on Global Computing Education")</f>
        <v>ACM Conference on Global Computing Education</v>
      </c>
      <c r="D17">
        <f>IFERROR(__xludf.DUMMYFUNCTION("""COMPUTED_VALUE"""),12.0)</f>
        <v>12</v>
      </c>
      <c r="E17" s="16" t="str">
        <f>IFERROR(__xludf.DUMMYFUNCTION("""COMPUTED_VALUE"""),"https://scholar.google.com/citations?hl=en&amp;view_op=list_hcore&amp;venue=3rl1k7wWXvsJ.2024")</f>
        <v>https://scholar.google.com/citations?hl=en&amp;view_op=list_hcore&amp;venue=3rl1k7wWXvsJ.2024</v>
      </c>
    </row>
    <row r="18">
      <c r="A18" s="229"/>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J9"/>
    <hyperlink r:id="rId17" ref="E10"/>
    <hyperlink r:id="rId18" ref="J10"/>
    <hyperlink r:id="rId19" ref="E11"/>
    <hyperlink r:id="rId20" ref="J11"/>
    <hyperlink r:id="rId21" ref="E12"/>
    <hyperlink r:id="rId22" ref="I12"/>
    <hyperlink r:id="rId23" ref="E13"/>
    <hyperlink r:id="rId24" ref="I13"/>
    <hyperlink r:id="rId25" ref="E14"/>
    <hyperlink r:id="rId26" ref="I14"/>
    <hyperlink r:id="rId27" ref="E15"/>
    <hyperlink r:id="rId28" ref="E16"/>
    <hyperlink r:id="rId29" ref="E17"/>
  </hyperlinks>
  <drawing r:id="rId30"/>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55.0"/>
    <col customWidth="1" min="3" max="3" width="40.13"/>
    <col customWidth="1" min="9" max="9" width="75.5"/>
    <col customWidth="1" min="10" max="10" width="49.88"/>
  </cols>
  <sheetData>
    <row r="1" ht="31.5" customHeight="1">
      <c r="A1" s="230" t="str">
        <f>IFERROR(__xludf.DUMMYFUNCTION("importrange(""https://docs.google.com/spreadsheets/d/1j00GJJJfyMkisBUONnOf82YFp-mFuF9A30Kog1_dhTE/edit#gid=0"",""Eventos SBC!A1:J150"")"),"Sigla")</f>
        <v>Sigla</v>
      </c>
      <c r="B1" t="str">
        <f>IFERROR(__xludf.DUMMYFUNCTION("""COMPUTED_VALUE"""),"Nome do evento")</f>
        <v>Nome do evento</v>
      </c>
      <c r="C1" t="str">
        <f>IFERROR(__xludf.DUMMYFUNCTION("""COMPUTED_VALUE"""),"Link da SOL")</f>
        <v>Link da SOL</v>
      </c>
      <c r="D1" s="217" t="str">
        <f>IFERROR(__xludf.DUMMYFUNCTION("""COMPUTED_VALUE"""),"número de edições")</f>
        <v>número de edições</v>
      </c>
      <c r="E1" t="str">
        <f>IFERROR(__xludf.DUMMYFUNCTION("""COMPUTED_VALUE"""),"Ano da primeira edição ou idade do evento")</f>
        <v>Ano da primeira edição ou idade do evento</v>
      </c>
      <c r="F1" t="str">
        <f>IFERROR(__xludf.DUMMYFUNCTION("""COMPUTED_VALUE"""),"CE associada")</f>
        <v>CE associada</v>
      </c>
      <c r="G1" t="str">
        <f>IFERROR(__xludf.DUMMYFUNCTION("""COMPUTED_VALUE"""),"ultima edição")</f>
        <v>ultima edição</v>
      </c>
      <c r="H1" t="str">
        <f>IFERROR(__xludf.DUMMYFUNCTION("""COMPUTED_VALUE"""),"H5")</f>
        <v>H5</v>
      </c>
      <c r="I1" t="str">
        <f>IFERROR(__xludf.DUMMYFUNCTION("""COMPUTED_VALUE"""),"H5 Link")</f>
        <v>H5 Link</v>
      </c>
      <c r="J1" t="str">
        <f>IFERROR(__xludf.DUMMYFUNCTION("""COMPUTED_VALUE"""),"Observação")</f>
        <v>Observação</v>
      </c>
    </row>
    <row r="2">
      <c r="A2" t="str">
        <f>IFERROR(__xludf.DUMMYFUNCTION("""COMPUTED_VALUE"""),"BRACIS")</f>
        <v>BRACIS</v>
      </c>
      <c r="B2" t="str">
        <f>IFERROR(__xludf.DUMMYFUNCTION("""COMPUTED_VALUE"""),"Brazilian Conference on Intelligent Systems")</f>
        <v>Brazilian Conference on Intelligent Systems</v>
      </c>
      <c r="C2" s="60" t="str">
        <f>IFERROR(__xludf.DUMMYFUNCTION("""COMPUTED_VALUE"""),"https://sol.sbc.org.br/index.php/bracis")</f>
        <v>https://sol.sbc.org.br/index.php/bracis</v>
      </c>
      <c r="D2">
        <f>IFERROR(__xludf.DUMMYFUNCTION("""COMPUTED_VALUE"""),12.0)</f>
        <v>12</v>
      </c>
      <c r="E2">
        <f>IFERROR(__xludf.DUMMYFUNCTION("""COMPUTED_VALUE"""),2012.0)</f>
        <v>2012</v>
      </c>
      <c r="F2" t="str">
        <f>IFERROR(__xludf.DUMMYFUNCTION("""COMPUTED_VALUE"""),"CE-IA e CE-IC")</f>
        <v>CE-IA e CE-IC</v>
      </c>
      <c r="G2">
        <f>IFERROR(__xludf.DUMMYFUNCTION("""COMPUTED_VALUE"""),2023.0)</f>
        <v>2023</v>
      </c>
      <c r="H2">
        <f>IFERROR(__xludf.DUMMYFUNCTION("""COMPUTED_VALUE"""),16.0)</f>
        <v>16</v>
      </c>
      <c r="I2" s="60" t="str">
        <f>IFERROR(__xludf.DUMMYFUNCTION("""COMPUTED_VALUE"""),"https://scholar.google.com.br/citations?hl=pt-BR&amp;view_op=list_hcore&amp;venue=qXwIadFVNCsJ.2024")</f>
        <v>https://scholar.google.com.br/citations?hl=pt-BR&amp;view_op=list_hcore&amp;venue=qXwIadFVNCsJ.2024</v>
      </c>
      <c r="J2" t="str">
        <f>IFERROR(__xludf.DUMMYFUNCTION("""COMPUTED_VALUE"""),"Publica os anais na Springer/Indexado na SOL em 2021 e 2023")</f>
        <v>Publica os anais na Springer/Indexado na SOL em 2021 e 2023</v>
      </c>
    </row>
    <row r="3">
      <c r="A3" t="str">
        <f>IFERROR(__xludf.DUMMYFUNCTION("""COMPUTED_VALUE"""),"BraSNAM")</f>
        <v>BraSNAM</v>
      </c>
      <c r="B3" t="str">
        <f>IFERROR(__xludf.DUMMYFUNCTION("""COMPUTED_VALUE"""),"Brazilian Workshop on Social Network Analysis and Mining")</f>
        <v>Brazilian Workshop on Social Network Analysis and Mining</v>
      </c>
      <c r="C3" s="60" t="str">
        <f>IFERROR(__xludf.DUMMYFUNCTION("""COMPUTED_VALUE"""),"https://sol.sbc.org.br/index.php/brasnam")</f>
        <v>https://sol.sbc.org.br/index.php/brasnam</v>
      </c>
      <c r="D3">
        <f>IFERROR(__xludf.DUMMYFUNCTION("""COMPUTED_VALUE"""),13.0)</f>
        <v>13</v>
      </c>
      <c r="E3">
        <f>IFERROR(__xludf.DUMMYFUNCTION("""COMPUTED_VALUE"""),2012.0)</f>
        <v>2012</v>
      </c>
      <c r="F3" t="str">
        <f>IFERROR(__xludf.DUMMYFUNCTION("""COMPUTED_VALUE"""),"GI-MARS")</f>
        <v>GI-MARS</v>
      </c>
      <c r="G3">
        <f>IFERROR(__xludf.DUMMYFUNCTION("""COMPUTED_VALUE"""),2024.0)</f>
        <v>2024</v>
      </c>
      <c r="H3">
        <f>IFERROR(__xludf.DUMMYFUNCTION("""COMPUTED_VALUE"""),8.0)</f>
        <v>8</v>
      </c>
      <c r="I3" s="60" t="str">
        <f>IFERROR(__xludf.DUMMYFUNCTION("""COMPUTED_VALUE"""),"https://scholar.google.com.br/citations?hl=pt-BR&amp;view_op=list_hcore&amp;venue=uCHdYLLURp0J.2024")</f>
        <v>https://scholar.google.com.br/citations?hl=pt-BR&amp;view_op=list_hcore&amp;venue=uCHdYLLURp0J.2024</v>
      </c>
      <c r="J3" t="str">
        <f>IFERROR(__xludf.DUMMYFUNCTION("""COMPUTED_VALUE"""),"Realizado como parte do CSBC")</f>
        <v>Realizado como parte do CSBC</v>
      </c>
    </row>
    <row r="4">
      <c r="A4" t="str">
        <f>IFERROR(__xludf.DUMMYFUNCTION("""COMPUTED_VALUE"""),"BreSci")</f>
        <v>BreSci</v>
      </c>
      <c r="B4" t="str">
        <f>IFERROR(__xludf.DUMMYFUNCTION("""COMPUTED_VALUE"""),"Brazilian e-Science Workshop")</f>
        <v>Brazilian e-Science Workshop</v>
      </c>
      <c r="C4" s="60" t="str">
        <f>IFERROR(__xludf.DUMMYFUNCTION("""COMPUTED_VALUE"""),"https://sol.sbc.org.br/index.php/bresci")</f>
        <v>https://sol.sbc.org.br/index.php/bresci</v>
      </c>
      <c r="D4">
        <f>IFERROR(__xludf.DUMMYFUNCTION("""COMPUTED_VALUE"""),17.0)</f>
        <v>17</v>
      </c>
      <c r="E4" t="str">
        <f>IFERROR(__xludf.DUMMYFUNCTION("""COMPUTED_VALUE"""),"?")</f>
        <v>?</v>
      </c>
      <c r="F4" t="str">
        <f>IFERROR(__xludf.DUMMYFUNCTION("""COMPUTED_VALUE"""),"?")</f>
        <v>?</v>
      </c>
      <c r="G4">
        <f>IFERROR(__xludf.DUMMYFUNCTION("""COMPUTED_VALUE"""),2023.0)</f>
        <v>2023</v>
      </c>
      <c r="H4">
        <f>IFERROR(__xludf.DUMMYFUNCTION("""COMPUTED_VALUE"""),3.0)</f>
        <v>3</v>
      </c>
      <c r="I4" s="60" t="str">
        <f>IFERROR(__xludf.DUMMYFUNCTION("""COMPUTED_VALUE"""),"https://scholar.google.com.br/scholar?as_q=&amp;as_epq=&amp;as_oq=&amp;as_eq=&amp;as_occt=any&amp;as_sauthors=&amp;as_publication=Brazilian+e-Science+Workshop&amp;as_ylo=2019&amp;as_yhi=2023&amp;hl=pt-BR&amp;as_sdt=0%2C5")</f>
        <v>https://scholar.google.com.br/scholar?as_q=&amp;as_epq=&amp;as_oq=&amp;as_eq=&amp;as_occt=any&amp;as_sauthors=&amp;as_publication=Brazilian+e-Science+Workshop&amp;as_ylo=2019&amp;as_yhi=2023&amp;hl=pt-BR&amp;as_sdt=0%2C5</v>
      </c>
      <c r="J4" t="str">
        <f>IFERROR(__xludf.DUMMYFUNCTION("""COMPUTED_VALUE"""),"Realizado como parte do SBBD ou CSBC")</f>
        <v>Realizado como parte do SBBD ou CSBC</v>
      </c>
    </row>
    <row r="5">
      <c r="A5" t="str">
        <f>IFERROR(__xludf.DUMMYFUNCTION("""COMPUTED_VALUE"""),"BSB")</f>
        <v>BSB</v>
      </c>
      <c r="B5" t="str">
        <f>IFERROR(__xludf.DUMMYFUNCTION("""COMPUTED_VALUE"""),"Brazilian Symposium on Bioinformatics")</f>
        <v>Brazilian Symposium on Bioinformatics</v>
      </c>
      <c r="C5" s="60" t="str">
        <f>IFERROR(__xludf.DUMMYFUNCTION("""COMPUTED_VALUE"""),"https://sol.sbc.org.br/index.php/bsb")</f>
        <v>https://sol.sbc.org.br/index.php/bsb</v>
      </c>
      <c r="D5">
        <f>IFERROR(__xludf.DUMMYFUNCTION("""COMPUTED_VALUE"""),16.0)</f>
        <v>16</v>
      </c>
      <c r="E5">
        <f>IFERROR(__xludf.DUMMYFUNCTION("""COMPUTED_VALUE"""),2005.0)</f>
        <v>2005</v>
      </c>
      <c r="F5" t="str">
        <f>IFERROR(__xludf.DUMMYFUNCTION("""COMPUTED_VALUE"""),"CE-BioComp")</f>
        <v>CE-BioComp</v>
      </c>
      <c r="G5">
        <f>IFERROR(__xludf.DUMMYFUNCTION("""COMPUTED_VALUE"""),2023.0)</f>
        <v>2023</v>
      </c>
      <c r="H5">
        <f>IFERROR(__xludf.DUMMYFUNCTION("""COMPUTED_VALUE"""),4.0)</f>
        <v>4</v>
      </c>
      <c r="I5" s="60" t="str">
        <f>IFERROR(__xludf.DUMMYFUNCTION("""COMPUTED_VALUE"""),"https://scholar.google.com.br/scholar?as_q=&amp;as_epq=&amp;as_oq=&amp;as_eq=&amp;as_occt=any&amp;as_sauthors=&amp;as_publication=Brazilian+Symposium+on+Bioinformatics&amp;as_ylo=2019&amp;as_yhi=2023&amp;hl=pt-BR&amp;as_sdt=0%2C5")</f>
        <v>https://scholar.google.com.br/scholar?as_q=&amp;as_epq=&amp;as_oq=&amp;as_eq=&amp;as_occt=any&amp;as_sauthors=&amp;as_publication=Brazilian+Symposium+on+Bioinformatics&amp;as_ylo=2019&amp;as_yhi=2023&amp;hl=pt-BR&amp;as_sdt=0%2C5</v>
      </c>
      <c r="J5" t="str">
        <f>IFERROR(__xludf.DUMMYFUNCTION("""COMPUTED_VALUE"""),"Publica os anais na Springer/Indexado na SOL desde 2020")</f>
        <v>Publica os anais na Springer/Indexado na SOL desde 2020</v>
      </c>
    </row>
    <row r="6">
      <c r="A6" t="str">
        <f>IFERROR(__xludf.DUMMYFUNCTION("""COMPUTED_VALUE"""),"BWAIF")</f>
        <v>BWAIF</v>
      </c>
      <c r="B6" t="str">
        <f>IFERROR(__xludf.DUMMYFUNCTION("""COMPUTED_VALUE"""),"Brazilian Workshop on Artificial Intelligence in Finance")</f>
        <v>Brazilian Workshop on Artificial Intelligence in Finance</v>
      </c>
      <c r="C6" s="60" t="str">
        <f>IFERROR(__xludf.DUMMYFUNCTION("""COMPUTED_VALUE"""),"https://sol.sbc.org.br/index.php/bwaif")</f>
        <v>https://sol.sbc.org.br/index.php/bwaif</v>
      </c>
      <c r="D6">
        <f>IFERROR(__xludf.DUMMYFUNCTION("""COMPUTED_VALUE"""),2.0)</f>
        <v>2</v>
      </c>
      <c r="E6">
        <f>IFERROR(__xludf.DUMMYFUNCTION("""COMPUTED_VALUE"""),2022.0)</f>
        <v>2022</v>
      </c>
      <c r="F6" t="str">
        <f>IFERROR(__xludf.DUMMYFUNCTION("""COMPUTED_VALUE"""),"CSBC")</f>
        <v>CSBC</v>
      </c>
      <c r="G6">
        <f>IFERROR(__xludf.DUMMYFUNCTION("""COMPUTED_VALUE"""),2023.0)</f>
        <v>2023</v>
      </c>
      <c r="H6">
        <f>IFERROR(__xludf.DUMMYFUNCTION("""COMPUTED_VALUE"""),2.0)</f>
        <v>2</v>
      </c>
      <c r="I6" s="60" t="str">
        <f>IFERROR(__xludf.DUMMYFUNCTION("""COMPUTED_VALUE"""),"https://scholar.google.com.br/scholar?as_q=&amp;as_epq=&amp;as_oq=&amp;as_eq=&amp;as_occt=any&amp;as_sauthors=&amp;as_publication=Brazilian+Workshop+on+Artificial+Intelligence+in+Finance&amp;as_ylo=2019&amp;as_yhi=2023&amp;hl=pt-BR&amp;as_sdt=0%2C5")</f>
        <v>https://scholar.google.com.br/scholar?as_q=&amp;as_epq=&amp;as_oq=&amp;as_eq=&amp;as_occt=any&amp;as_sauthors=&amp;as_publication=Brazilian+Workshop+on+Artificial+Intelligence+in+Finance&amp;as_ylo=2019&amp;as_yhi=2023&amp;hl=pt-BR&amp;as_sdt=0%2C5</v>
      </c>
      <c r="J6" t="str">
        <f>IFERROR(__xludf.DUMMYFUNCTION("""COMPUTED_VALUE"""),"Realizado como parte do CSBC")</f>
        <v>Realizado como parte do CSBC</v>
      </c>
    </row>
    <row r="7">
      <c r="A7" t="str">
        <f>IFERROR(__xludf.DUMMYFUNCTION("""COMPUTED_VALUE"""),"BWare")</f>
        <v>BWare</v>
      </c>
      <c r="B7" t="str">
        <f>IFERROR(__xludf.DUMMYFUNCTION("""COMPUTED_VALUE"""),"Brazilian Workshop on Large-scale Critical Systems (BWare)")</f>
        <v>Brazilian Workshop on Large-scale Critical Systems (BWare)</v>
      </c>
      <c r="C7" s="60" t="str">
        <f>IFERROR(__xludf.DUMMYFUNCTION("""COMPUTED_VALUE"""),"https://sol.sbc.org.br/index.php/bware/issue/archive")</f>
        <v>https://sol.sbc.org.br/index.php/bware/issue/archive</v>
      </c>
      <c r="D7">
        <f>IFERROR(__xludf.DUMMYFUNCTION("""COMPUTED_VALUE"""),1.0)</f>
        <v>1</v>
      </c>
      <c r="E7">
        <f>IFERROR(__xludf.DUMMYFUNCTION("""COMPUTED_VALUE"""),2019.0)</f>
        <v>2019</v>
      </c>
      <c r="F7" t="str">
        <f>IFERROR(__xludf.DUMMYFUNCTION("""COMPUTED_VALUE"""),"?")</f>
        <v>?</v>
      </c>
      <c r="G7">
        <f>IFERROR(__xludf.DUMMYFUNCTION("""COMPUTED_VALUE"""),2019.0)</f>
        <v>2019</v>
      </c>
      <c r="H7">
        <f>IFERROR(__xludf.DUMMYFUNCTION("""COMPUTED_VALUE"""),2.0)</f>
        <v>2</v>
      </c>
      <c r="I7" s="60" t="str">
        <f>IFERROR(__xludf.DUMMYFUNCTION("""COMPUTED_VALUE"""),"https://scholar.google.com/scholar?as_q=&amp;as_epq=&amp;as_oq=&amp;as_eq=&amp;as_occt=any&amp;as_sauthors=&amp;as_publication=Brazilian+Workshop+on+Large-scale+Critical+Systems+&amp;as_ylo=2019&amp;as_yhi=2023&amp;hl=pt-BR&amp;as_sdt=0%2C5")</f>
        <v>https://scholar.google.com/scholar?as_q=&amp;as_epq=&amp;as_oq=&amp;as_eq=&amp;as_occt=any&amp;as_sauthors=&amp;as_publication=Brazilian+Workshop+on+Large-scale+Critical+Systems+&amp;as_ylo=2019&amp;as_yhi=2023&amp;hl=pt-BR&amp;as_sdt=0%2C5</v>
      </c>
      <c r="J7" t="str">
        <f>IFERROR(__xludf.DUMMYFUNCTION("""COMPUTED_VALUE"""),"Realizado como parte do CBSoft")</f>
        <v>Realizado como parte do CBSoft</v>
      </c>
    </row>
    <row r="8">
      <c r="A8" t="str">
        <f>IFERROR(__xludf.DUMMYFUNCTION("""COMPUTED_VALUE"""),"CAPAIHC")</f>
        <v>CAPAIHC</v>
      </c>
      <c r="B8" t="str">
        <f>IFERROR(__xludf.DUMMYFUNCTION("""COMPUTED_VALUE"""),"Workshop em Culturas, Alteridades e Participações em IHC (CAPAihc)")</f>
        <v>Workshop em Culturas, Alteridades e Participações em IHC (CAPAihc)</v>
      </c>
      <c r="C8" s="60" t="str">
        <f>IFERROR(__xludf.DUMMYFUNCTION("""COMPUTED_VALUE"""),"https://sol.sbc.org.br/index.php/capaihc/issue/archive")</f>
        <v>https://sol.sbc.org.br/index.php/capaihc/issue/archive</v>
      </c>
      <c r="D8">
        <f>IFERROR(__xludf.DUMMYFUNCTION("""COMPUTED_VALUE"""),2.0)</f>
        <v>2</v>
      </c>
      <c r="E8">
        <f>IFERROR(__xludf.DUMMYFUNCTION("""COMPUTED_VALUE"""),2017.0)</f>
        <v>2017</v>
      </c>
      <c r="F8" t="str">
        <f>IFERROR(__xludf.DUMMYFUNCTION("""COMPUTED_VALUE"""),"CE-IHC")</f>
        <v>CE-IHC</v>
      </c>
      <c r="G8">
        <f>IFERROR(__xludf.DUMMYFUNCTION("""COMPUTED_VALUE"""),2023.0)</f>
        <v>2023</v>
      </c>
      <c r="H8">
        <f>IFERROR(__xludf.DUMMYFUNCTION("""COMPUTED_VALUE"""),1.0)</f>
        <v>1</v>
      </c>
      <c r="I8" s="60" t="str">
        <f>IFERROR(__xludf.DUMMYFUNCTION("""COMPUTED_VALUE"""),"https://scholar.google.com/scholar?as_q=&amp;as_epq=&amp;as_oq=&amp;as_eq=&amp;as_occt=any&amp;as_sauthors=&amp;as_publication=Workshop+em+Culturas%2C+Alteridades+e+Participa%C3%A7%C3%B5es+em+IHC&amp;as_ylo=2019&amp;as_yhi=2023&amp;hl=pt-BR&amp;as_sdt=0%2C5")</f>
        <v>https://scholar.google.com/scholar?as_q=&amp;as_epq=&amp;as_oq=&amp;as_eq=&amp;as_occt=any&amp;as_sauthors=&amp;as_publication=Workshop+em+Culturas%2C+Alteridades+e+Participa%C3%A7%C3%B5es+em+IHC&amp;as_ylo=2019&amp;as_yhi=2023&amp;hl=pt-BR&amp;as_sdt=0%2C5</v>
      </c>
      <c r="J8" t="str">
        <f>IFERROR(__xludf.DUMMYFUNCTION("""COMPUTED_VALUE"""),"Realizado como parte do IHC")</f>
        <v>Realizado como parte do IHC</v>
      </c>
    </row>
    <row r="9">
      <c r="A9" t="str">
        <f>IFERROR(__xludf.DUMMYFUNCTION("""COMPUTED_VALUE"""),"CBlockchain")</f>
        <v>CBlockchain</v>
      </c>
      <c r="B9" t="str">
        <f>IFERROR(__xludf.DUMMYFUNCTION("""COMPUTED_VALUE"""),"Colóquio em Blockchain e Web Descentralizada")</f>
        <v>Colóquio em Blockchain e Web Descentralizada</v>
      </c>
      <c r="C9" s="60" t="str">
        <f>IFERROR(__xludf.DUMMYFUNCTION("""COMPUTED_VALUE"""),"https://sol.sbc.org.br/index.php/cblockchain")</f>
        <v>https://sol.sbc.org.br/index.php/cblockchain</v>
      </c>
      <c r="D9">
        <f>IFERROR(__xludf.DUMMYFUNCTION("""COMPUTED_VALUE"""),2.0)</f>
        <v>2</v>
      </c>
      <c r="E9">
        <f>IFERROR(__xludf.DUMMYFUNCTION("""COMPUTED_VALUE"""),2023.0)</f>
        <v>2023</v>
      </c>
      <c r="F9" t="str">
        <f>IFERROR(__xludf.DUMMYFUNCTION("""COMPUTED_VALUE"""),"CSBC")</f>
        <v>CSBC</v>
      </c>
      <c r="G9">
        <f>IFERROR(__xludf.DUMMYFUNCTION("""COMPUTED_VALUE"""),2024.0)</f>
        <v>2024</v>
      </c>
      <c r="H9">
        <f>IFERROR(__xludf.DUMMYFUNCTION("""COMPUTED_VALUE"""),1.0)</f>
        <v>1</v>
      </c>
      <c r="I9" s="60" t="str">
        <f>IFERROR(__xludf.DUMMYFUNCTION("""COMPUTED_VALUE"""),"https://scholar.google.com/scholar?as_q=&amp;as_epq=&amp;as_oq=&amp;as_eq=&amp;as_occt=any&amp;as_sauthors=&amp;as_publication=Col%C3%B3quio+em+Blockchain+e+Web+Descentralizada&amp;as_ylo=2019&amp;as_yhi=2023&amp;hl=pt-BR&amp;as_sdt=0%2C5")</f>
        <v>https://scholar.google.com/scholar?as_q=&amp;as_epq=&amp;as_oq=&amp;as_eq=&amp;as_occt=any&amp;as_sauthors=&amp;as_publication=Col%C3%B3quio+em+Blockchain+e+Web+Descentralizada&amp;as_ylo=2019&amp;as_yhi=2023&amp;hl=pt-BR&amp;as_sdt=0%2C5</v>
      </c>
      <c r="J9" t="str">
        <f>IFERROR(__xludf.DUMMYFUNCTION("""COMPUTED_VALUE"""),"Realizado como parte do CSBC")</f>
        <v>Realizado como parte do CSBC</v>
      </c>
    </row>
    <row r="10">
      <c r="A10" t="str">
        <f>IFERROR(__xludf.DUMMYFUNCTION("""COMPUTED_VALUE"""),"CoUrb")</f>
        <v>CoUrb</v>
      </c>
      <c r="B10" t="str">
        <f>IFERROR(__xludf.DUMMYFUNCTION("""COMPUTED_VALUE"""),"Workshop de Computação Urbana (CoUrb)")</f>
        <v>Workshop de Computação Urbana (CoUrb)</v>
      </c>
      <c r="C10" s="60" t="str">
        <f>IFERROR(__xludf.DUMMYFUNCTION("""COMPUTED_VALUE"""),"https://sol.sbc.org.br/index.php/courb/issue/archive")</f>
        <v>https://sol.sbc.org.br/index.php/courb/issue/archive</v>
      </c>
      <c r="D10">
        <f>IFERROR(__xludf.DUMMYFUNCTION("""COMPUTED_VALUE"""),7.0)</f>
        <v>7</v>
      </c>
      <c r="E10">
        <f>IFERROR(__xludf.DUMMYFUNCTION("""COMPUTED_VALUE"""),2017.0)</f>
        <v>2017</v>
      </c>
      <c r="F10" t="str">
        <f>IFERROR(__xludf.DUMMYFUNCTION("""COMPUTED_VALUE"""),"CE-RESD")</f>
        <v>CE-RESD</v>
      </c>
      <c r="G10">
        <f>IFERROR(__xludf.DUMMYFUNCTION("""COMPUTED_VALUE"""),2023.0)</f>
        <v>2023</v>
      </c>
      <c r="H10">
        <f>IFERROR(__xludf.DUMMYFUNCTION("""COMPUTED_VALUE"""),5.0)</f>
        <v>5</v>
      </c>
      <c r="I10" s="60" t="str">
        <f>IFERROR(__xludf.DUMMYFUNCTION("""COMPUTED_VALUE"""),"https://scholar.google.com.br/scholar?as_q=&amp;as_epq=&amp;as_oq=&amp;as_eq=&amp;as_occt=any&amp;as_sauthors=&amp;as_publication=Workshop+de+Computa%C3%A7%C3%A3o+Urbana&amp;as_ylo=2019&amp;as_yhi=2023&amp;hl=pt-BR&amp;as_sdt=0%2C5")</f>
        <v>https://scholar.google.com.br/scholar?as_q=&amp;as_epq=&amp;as_oq=&amp;as_eq=&amp;as_occt=any&amp;as_sauthors=&amp;as_publication=Workshop+de+Computa%C3%A7%C3%A3o+Urbana&amp;as_ylo=2019&amp;as_yhi=2023&amp;hl=pt-BR&amp;as_sdt=0%2C5</v>
      </c>
      <c r="J10" t="str">
        <f>IFERROR(__xludf.DUMMYFUNCTION("""COMPUTED_VALUE"""),"Realizado como parte do SBRC")</f>
        <v>Realizado como parte do SBRC</v>
      </c>
    </row>
    <row r="11">
      <c r="A11" t="str">
        <f>IFERROR(__xludf.DUMMYFUNCTION("""COMPUTED_VALUE"""),"DESAFIE")</f>
        <v>DESAFIE</v>
      </c>
      <c r="B11" t="str">
        <f>IFERROR(__xludf.DUMMYFUNCTION("""COMPUTED_VALUE"""),"Workshop de Desafios da Computação Aplicada à Educação")</f>
        <v>Workshop de Desafios da Computação Aplicada à Educação</v>
      </c>
      <c r="C11" s="60" t="str">
        <f>IFERROR(__xludf.DUMMYFUNCTION("""COMPUTED_VALUE"""),"https://sol.sbc.org.br/index.php/desafie")</f>
        <v>https://sol.sbc.org.br/index.php/desafie</v>
      </c>
      <c r="D11">
        <f>IFERROR(__xludf.DUMMYFUNCTION("""COMPUTED_VALUE"""),8.0)</f>
        <v>8</v>
      </c>
      <c r="E11">
        <f>IFERROR(__xludf.DUMMYFUNCTION("""COMPUTED_VALUE"""),2012.0)</f>
        <v>2012</v>
      </c>
      <c r="F11" t="str">
        <f>IFERROR(__xludf.DUMMYFUNCTION("""COMPUTED_VALUE"""),"CE-IE")</f>
        <v>CE-IE</v>
      </c>
      <c r="G11">
        <f>IFERROR(__xludf.DUMMYFUNCTION("""COMPUTED_VALUE"""),2019.0)</f>
        <v>2019</v>
      </c>
      <c r="H11" t="str">
        <f>IFERROR(__xludf.DUMMYFUNCTION("""COMPUTED_VALUE"""),"---")</f>
        <v>---</v>
      </c>
      <c r="I11" t="str">
        <f>IFERROR(__xludf.DUMMYFUNCTION("""COMPUTED_VALUE"""),"---")</f>
        <v>---</v>
      </c>
      <c r="J11" t="str">
        <f>IFERROR(__xludf.DUMMYFUNCTION("""COMPUTED_VALUE"""),"Realizado como parte do CBIE/Evento descontinuado")</f>
        <v>Realizado como parte do CBIE/Evento descontinuado</v>
      </c>
    </row>
    <row r="12">
      <c r="A12" t="str">
        <f>IFERROR(__xludf.DUMMYFUNCTION("""COMPUTED_VALUE"""),"DSW")</f>
        <v>DSW</v>
      </c>
      <c r="B12" t="str">
        <f>IFERROR(__xludf.DUMMYFUNCTION("""COMPUTED_VALUE"""),"Dataset Showcase Workshop (DSW)")</f>
        <v>Dataset Showcase Workshop (DSW)</v>
      </c>
      <c r="C12" s="60" t="str">
        <f>IFERROR(__xludf.DUMMYFUNCTION("""COMPUTED_VALUE"""),"https://sol.sbc.org.br/index.php/dsw/issue/archive")</f>
        <v>https://sol.sbc.org.br/index.php/dsw/issue/archive</v>
      </c>
      <c r="D12">
        <f>IFERROR(__xludf.DUMMYFUNCTION("""COMPUTED_VALUE"""),5.0)</f>
        <v>5</v>
      </c>
      <c r="E12">
        <f>IFERROR(__xludf.DUMMYFUNCTION("""COMPUTED_VALUE"""),2017.0)</f>
        <v>2017</v>
      </c>
      <c r="F12" t="str">
        <f>IFERROR(__xludf.DUMMYFUNCTION("""COMPUTED_VALUE"""),"CE-BD")</f>
        <v>CE-BD</v>
      </c>
      <c r="G12">
        <f>IFERROR(__xludf.DUMMYFUNCTION("""COMPUTED_VALUE"""),2023.0)</f>
        <v>2023</v>
      </c>
      <c r="H12">
        <f>IFERROR(__xludf.DUMMYFUNCTION("""COMPUTED_VALUE"""),6.0)</f>
        <v>6</v>
      </c>
      <c r="I12" s="60" t="str">
        <f>IFERROR(__xludf.DUMMYFUNCTION("""COMPUTED_VALUE"""),"https://scholar.google.com.br/scholar?as_q=&amp;as_epq=&amp;as_oq=&amp;as_eq=&amp;as_occt=any&amp;as_sauthors=&amp;as_publication=Dataset+Showcase+Workshop&amp;as_ylo=2019&amp;as_yhi=2023&amp;hl=pt-BR&amp;as_sdt=0%2C5")</f>
        <v>https://scholar.google.com.br/scholar?as_q=&amp;as_epq=&amp;as_oq=&amp;as_eq=&amp;as_occt=any&amp;as_sauthors=&amp;as_publication=Dataset+Showcase+Workshop&amp;as_ylo=2019&amp;as_yhi=2023&amp;hl=pt-BR&amp;as_sdt=0%2C5</v>
      </c>
      <c r="J12" t="str">
        <f>IFERROR(__xludf.DUMMYFUNCTION("""COMPUTED_VALUE"""),"Realizado como parte do CBSoft")</f>
        <v>Realizado como parte do CBSoft</v>
      </c>
    </row>
    <row r="13">
      <c r="A13" t="str">
        <f>IFERROR(__xludf.DUMMYFUNCTION("""COMPUTED_VALUE"""),"EDUCOMP")</f>
        <v>EDUCOMP</v>
      </c>
      <c r="B13" t="str">
        <f>IFERROR(__xludf.DUMMYFUNCTION("""COMPUTED_VALUE"""),"Simpósio Brasileiro de Educação em Computação")</f>
        <v>Simpósio Brasileiro de Educação em Computação</v>
      </c>
      <c r="C13" s="60" t="str">
        <f>IFERROR(__xludf.DUMMYFUNCTION("""COMPUTED_VALUE"""),"https://sol.sbc.org.br/index.php/educomp")</f>
        <v>https://sol.sbc.org.br/index.php/educomp</v>
      </c>
      <c r="D13">
        <f>IFERROR(__xludf.DUMMYFUNCTION("""COMPUTED_VALUE"""),4.0)</f>
        <v>4</v>
      </c>
      <c r="E13">
        <f>IFERROR(__xludf.DUMMYFUNCTION("""COMPUTED_VALUE"""),2021.0)</f>
        <v>2021</v>
      </c>
      <c r="F13" t="str">
        <f>IFERROR(__xludf.DUMMYFUNCTION("""COMPUTED_VALUE"""),"CE-EduComp")</f>
        <v>CE-EduComp</v>
      </c>
      <c r="G13">
        <f>IFERROR(__xludf.DUMMYFUNCTION("""COMPUTED_VALUE"""),2024.0)</f>
        <v>2024</v>
      </c>
      <c r="H13">
        <f>IFERROR(__xludf.DUMMYFUNCTION("""COMPUTED_VALUE"""),7.0)</f>
        <v>7</v>
      </c>
      <c r="I13" s="60" t="str">
        <f>IFERROR(__xludf.DUMMYFUNCTION("""COMPUTED_VALUE"""),"https://scholar.google.com.br/citations?hl=pt-BR&amp;view_op=list_hcore&amp;venue=9d69RZLoOs8J.2024")</f>
        <v>https://scholar.google.com.br/citations?hl=pt-BR&amp;view_op=list_hcore&amp;venue=9d69RZLoOs8J.2024</v>
      </c>
      <c r="J13" t="str">
        <f>IFERROR(__xludf.DUMMYFUNCTION("""COMPUTED_VALUE"""),"Evento criado em 2021")</f>
        <v>Evento criado em 2021</v>
      </c>
    </row>
    <row r="14">
      <c r="A14" t="str">
        <f>IFERROR(__xludf.DUMMYFUNCTION("""COMPUTED_VALUE"""),"ENCompIF")</f>
        <v>ENCompIF</v>
      </c>
      <c r="B14" t="str">
        <f>IFERROR(__xludf.DUMMYFUNCTION("""COMPUTED_VALUE"""),"Encontro Nacional de Computação dos Institutos Federais")</f>
        <v>Encontro Nacional de Computação dos Institutos Federais</v>
      </c>
      <c r="C14" s="60" t="str">
        <f>IFERROR(__xludf.DUMMYFUNCTION("""COMPUTED_VALUE"""),"https://sol.sbc.org.br/index.php/encompif")</f>
        <v>https://sol.sbc.org.br/index.php/encompif</v>
      </c>
      <c r="D14">
        <f>IFERROR(__xludf.DUMMYFUNCTION("""COMPUTED_VALUE"""),11.0)</f>
        <v>11</v>
      </c>
      <c r="E14">
        <f>IFERROR(__xludf.DUMMYFUNCTION("""COMPUTED_VALUE"""),2013.0)</f>
        <v>2013</v>
      </c>
      <c r="F14" t="str">
        <f>IFERROR(__xludf.DUMMYFUNCTION("""COMPUTED_VALUE"""),"CSBC")</f>
        <v>CSBC</v>
      </c>
      <c r="G14">
        <f>IFERROR(__xludf.DUMMYFUNCTION("""COMPUTED_VALUE"""),2024.0)</f>
        <v>2024</v>
      </c>
      <c r="H14">
        <f>IFERROR(__xludf.DUMMYFUNCTION("""COMPUTED_VALUE"""),3.0)</f>
        <v>3</v>
      </c>
      <c r="I14" s="60" t="str">
        <f>IFERROR(__xludf.DUMMYFUNCTION("""COMPUTED_VALUE"""),"https://scholar.google.com.br/scholar?as_q=&amp;as_epq=&amp;as_oq=&amp;as_eq=&amp;as_occt=any&amp;as_sauthors=&amp;as_publication=Encontro+Nacional+de+Computa%C3%A7%C3%A3o+dos+Institutos+Federais&amp;as_ylo=2019&amp;as_yhi=2023&amp;hl=pt-BR&amp;as_sdt=0%2C5")</f>
        <v>https://scholar.google.com.br/scholar?as_q=&amp;as_epq=&amp;as_oq=&amp;as_eq=&amp;as_occt=any&amp;as_sauthors=&amp;as_publication=Encontro+Nacional+de+Computa%C3%A7%C3%A3o+dos+Institutos+Federais&amp;as_ylo=2019&amp;as_yhi=2023&amp;hl=pt-BR&amp;as_sdt=0%2C5</v>
      </c>
      <c r="J14" t="str">
        <f>IFERROR(__xludf.DUMMYFUNCTION("""COMPUTED_VALUE"""),"Realizado como parte do CSBC")</f>
        <v>Realizado como parte do CSBC</v>
      </c>
    </row>
    <row r="15">
      <c r="A15" t="str">
        <f>IFERROR(__xludf.DUMMYFUNCTION("""COMPUTED_VALUE"""),"ENIAC")</f>
        <v>ENIAC</v>
      </c>
      <c r="B15" t="str">
        <f>IFERROR(__xludf.DUMMYFUNCTION("""COMPUTED_VALUE"""),"Encontro Nacional de Inteligência Artificial e Computacional")</f>
        <v>Encontro Nacional de Inteligência Artificial e Computacional</v>
      </c>
      <c r="C15" s="60" t="str">
        <f>IFERROR(__xludf.DUMMYFUNCTION("""COMPUTED_VALUE"""),"https://sol.sbc.org.br/index.php/eniac")</f>
        <v>https://sol.sbc.org.br/index.php/eniac</v>
      </c>
      <c r="D15">
        <f>IFERROR(__xludf.DUMMYFUNCTION("""COMPUTED_VALUE"""),20.0)</f>
        <v>20</v>
      </c>
      <c r="E15">
        <f>IFERROR(__xludf.DUMMYFUNCTION("""COMPUTED_VALUE"""),1997.0)</f>
        <v>1997</v>
      </c>
      <c r="F15" t="str">
        <f>IFERROR(__xludf.DUMMYFUNCTION("""COMPUTED_VALUE"""),"CE-IA e CE-IC")</f>
        <v>CE-IA e CE-IC</v>
      </c>
      <c r="G15">
        <f>IFERROR(__xludf.DUMMYFUNCTION("""COMPUTED_VALUE"""),2023.0)</f>
        <v>2023</v>
      </c>
      <c r="H15">
        <f>IFERROR(__xludf.DUMMYFUNCTION("""COMPUTED_VALUE"""),9.0)</f>
        <v>9</v>
      </c>
      <c r="I15" s="60" t="str">
        <f>IFERROR(__xludf.DUMMYFUNCTION("""COMPUTED_VALUE"""),"https://scholar.google.com/citations?hl=en&amp;view_op=list_hcore&amp;venue=DoEKONL9f1YJ.2024")</f>
        <v>https://scholar.google.com/citations?hl=en&amp;view_op=list_hcore&amp;venue=DoEKONL9f1YJ.2024</v>
      </c>
      <c r="J15" t="str">
        <f>IFERROR(__xludf.DUMMYFUNCTION("""COMPUTED_VALUE"""),"Realizado como parte do BRACIS")</f>
        <v>Realizado como parte do BRACIS</v>
      </c>
    </row>
    <row r="16">
      <c r="A16" t="str">
        <f>IFERROR(__xludf.DUMMYFUNCTION("""COMPUTED_VALUE"""),"ETC")</f>
        <v>ETC</v>
      </c>
      <c r="B16" t="str">
        <f>IFERROR(__xludf.DUMMYFUNCTION("""COMPUTED_VALUE"""),"Encontro de Teoria da Computação")</f>
        <v>Encontro de Teoria da Computação</v>
      </c>
      <c r="C16" s="60" t="str">
        <f>IFERROR(__xludf.DUMMYFUNCTION("""COMPUTED_VALUE"""),"https://sol.sbc.org.br/index.php/etc")</f>
        <v>https://sol.sbc.org.br/index.php/etc</v>
      </c>
      <c r="D16">
        <f>IFERROR(__xludf.DUMMYFUNCTION("""COMPUTED_VALUE"""),9.0)</f>
        <v>9</v>
      </c>
      <c r="E16">
        <f>IFERROR(__xludf.DUMMYFUNCTION("""COMPUTED_VALUE"""),2016.0)</f>
        <v>2016</v>
      </c>
      <c r="F16" t="str">
        <f>IFERROR(__xludf.DUMMYFUNCTION("""COMPUTED_VALUE"""),"CE-ACO")</f>
        <v>CE-ACO</v>
      </c>
      <c r="G16">
        <f>IFERROR(__xludf.DUMMYFUNCTION("""COMPUTED_VALUE"""),2024.0)</f>
        <v>2024</v>
      </c>
      <c r="H16">
        <f>IFERROR(__xludf.DUMMYFUNCTION("""COMPUTED_VALUE"""),2.0)</f>
        <v>2</v>
      </c>
      <c r="I16" s="60" t="str">
        <f>IFERROR(__xludf.DUMMYFUNCTION("""COMPUTED_VALUE"""),"https://scholar.google.com/citations?hl=en&amp;view_op=list_hcore&amp;venue=S-FAvH1rAgcJ.2024")</f>
        <v>https://scholar.google.com/citations?hl=en&amp;view_op=list_hcore&amp;venue=S-FAvH1rAgcJ.2024</v>
      </c>
      <c r="J16" t="str">
        <f>IFERROR(__xludf.DUMMYFUNCTION("""COMPUTED_VALUE"""),"Realizado como parte do CSBC")</f>
        <v>Realizado como parte do CSBC</v>
      </c>
    </row>
    <row r="17">
      <c r="A17" t="str">
        <f>IFERROR(__xludf.DUMMYFUNCTION("""COMPUTED_VALUE"""),"IHC")</f>
        <v>IHC</v>
      </c>
      <c r="B17" t="str">
        <f>IFERROR(__xludf.DUMMYFUNCTION("""COMPUTED_VALUE"""),"Simpósio Brasileiro sobre Fatores Humanos em Sistemas Computacionais")</f>
        <v>Simpósio Brasileiro sobre Fatores Humanos em Sistemas Computacionais</v>
      </c>
      <c r="C17" s="60" t="str">
        <f>IFERROR(__xludf.DUMMYFUNCTION("""COMPUTED_VALUE"""),"https://sol.sbc.org.br/index.php/ihc")</f>
        <v>https://sol.sbc.org.br/index.php/ihc</v>
      </c>
      <c r="D17">
        <f>IFERROR(__xludf.DUMMYFUNCTION("""COMPUTED_VALUE"""),22.0)</f>
        <v>22</v>
      </c>
      <c r="E17">
        <f>IFERROR(__xludf.DUMMYFUNCTION("""COMPUTED_VALUE"""),1998.0)</f>
        <v>1998</v>
      </c>
      <c r="F17" t="str">
        <f>IFERROR(__xludf.DUMMYFUNCTION("""COMPUTED_VALUE"""),"CE-IHC")</f>
        <v>CE-IHC</v>
      </c>
      <c r="G17">
        <f>IFERROR(__xludf.DUMMYFUNCTION("""COMPUTED_VALUE"""),2023.0)</f>
        <v>2023</v>
      </c>
      <c r="H17">
        <f>IFERROR(__xludf.DUMMYFUNCTION("""COMPUTED_VALUE"""),13.0)</f>
        <v>13</v>
      </c>
      <c r="I17" s="60" t="str">
        <f>IFERROR(__xludf.DUMMYFUNCTION("""COMPUTED_VALUE"""),"https://scholar.google.com.br/citations?hl=pt-BR&amp;view_op=list_hcore&amp;venue=YC7yoNYrtdAJ.2024")</f>
        <v>https://scholar.google.com.br/citations?hl=pt-BR&amp;view_op=list_hcore&amp;venue=YC7yoNYrtdAJ.2024</v>
      </c>
      <c r="J17" t="str">
        <f>IFERROR(__xludf.DUMMYFUNCTION("""COMPUTED_VALUE"""),"Publica os anais na ACM/Indexado na SOL desde 2020")</f>
        <v>Publica os anais na ACM/Indexado na SOL desde 2020</v>
      </c>
    </row>
    <row r="18">
      <c r="A18" t="str">
        <f>IFERROR(__xludf.DUMMYFUNCTION("""COMPUTED_VALUE"""),"ISE")</f>
        <v>ISE</v>
      </c>
      <c r="B18" t="str">
        <f>IFERROR(__xludf.DUMMYFUNCTION("""COMPUTED_VALUE"""),"Workshop Brasileiro de Engenharia de Software Inteligente (ISE)")</f>
        <v>Workshop Brasileiro de Engenharia de Software Inteligente (ISE)</v>
      </c>
      <c r="C18" s="60" t="str">
        <f>IFERROR(__xludf.DUMMYFUNCTION("""COMPUTED_VALUE"""),"https://sol.sbc.org.br/index.php/ise/issue/archive")</f>
        <v>https://sol.sbc.org.br/index.php/ise/issue/archive</v>
      </c>
      <c r="D18">
        <f>IFERROR(__xludf.DUMMYFUNCTION("""COMPUTED_VALUE"""),3.0)</f>
        <v>3</v>
      </c>
      <c r="E18">
        <f>IFERROR(__xludf.DUMMYFUNCTION("""COMPUTED_VALUE"""),2021.0)</f>
        <v>2021</v>
      </c>
      <c r="F18" t="str">
        <f>IFERROR(__xludf.DUMMYFUNCTION("""COMPUTED_VALUE"""),"CE-ES")</f>
        <v>CE-ES</v>
      </c>
      <c r="G18">
        <f>IFERROR(__xludf.DUMMYFUNCTION("""COMPUTED_VALUE"""),2023.0)</f>
        <v>2023</v>
      </c>
      <c r="H18">
        <f>IFERROR(__xludf.DUMMYFUNCTION("""COMPUTED_VALUE"""),2.0)</f>
        <v>2</v>
      </c>
      <c r="I18" s="60" t="str">
        <f>IFERROR(__xludf.DUMMYFUNCTION("""COMPUTED_VALUE"""),"https://scholar.google.com.br/scholar?as_q=&amp;as_epq=&amp;as_oq=&amp;as_eq=&amp;as_occt=any&amp;as_sauthors=&amp;as_publication=Workshop+Brasileiro+de+Engenharia+de+Software+Inteligente&amp;as_ylo=2019&amp;as_yhi=2023&amp;hl=pt-BR&amp;as_sdt=0%2C5")</f>
        <v>https://scholar.google.com.br/scholar?as_q=&amp;as_epq=&amp;as_oq=&amp;as_eq=&amp;as_occt=any&amp;as_sauthors=&amp;as_publication=Workshop+Brasileiro+de+Engenharia+de+Software+Inteligente&amp;as_ylo=2019&amp;as_yhi=2023&amp;hl=pt-BR&amp;as_sdt=0%2C5</v>
      </c>
      <c r="J18" t="str">
        <f>IFERROR(__xludf.DUMMYFUNCTION("""COMPUTED_VALUE"""),"Realizado como parte do CBSoft")</f>
        <v>Realizado como parte do CBSoft</v>
      </c>
    </row>
    <row r="19">
      <c r="A19" t="str">
        <f>IFERROR(__xludf.DUMMYFUNCTION("""COMPUTED_VALUE"""),"KDMiLe")</f>
        <v>KDMiLe</v>
      </c>
      <c r="B19" t="str">
        <f>IFERROR(__xludf.DUMMYFUNCTION("""COMPUTED_VALUE"""),"Symposium on Knowledge Discovery, Mining and Learning (KDMiLe)")</f>
        <v>Symposium on Knowledge Discovery, Mining and Learning (KDMiLe)</v>
      </c>
      <c r="C19" s="60" t="str">
        <f>IFERROR(__xludf.DUMMYFUNCTION("""COMPUTED_VALUE"""),"https://sol.sbc.org.br/index.php/kdmile/issue/archive")</f>
        <v>https://sol.sbc.org.br/index.php/kdmile/issue/archive</v>
      </c>
      <c r="D19">
        <f>IFERROR(__xludf.DUMMYFUNCTION("""COMPUTED_VALUE"""),11.0)</f>
        <v>11</v>
      </c>
      <c r="G19">
        <f>IFERROR(__xludf.DUMMYFUNCTION("""COMPUTED_VALUE"""),2023.0)</f>
        <v>2023</v>
      </c>
      <c r="H19">
        <f>IFERROR(__xludf.DUMMYFUNCTION("""COMPUTED_VALUE"""),5.0)</f>
        <v>5</v>
      </c>
      <c r="I19" s="60" t="str">
        <f>IFERROR(__xludf.DUMMYFUNCTION("""COMPUTED_VALUE"""),"https://scholar.google.com.br/scholar?as_q=&amp;as_epq=&amp;as_oq=&amp;as_eq=&amp;as_occt=any&amp;as_sauthors=&amp;as_publication=Symposium+on+Knowledge+Discovery%2C+Mining+and+Learning&amp;as_ylo=2019&amp;as_yhi=2023&amp;hl=pt-BR&amp;as_sdt=0%2C5")</f>
        <v>https://scholar.google.com.br/scholar?as_q=&amp;as_epq=&amp;as_oq=&amp;as_eq=&amp;as_occt=any&amp;as_sauthors=&amp;as_publication=Symposium+on+Knowledge+Discovery%2C+Mining+and+Learning&amp;as_ylo=2019&amp;as_yhi=2023&amp;hl=pt-BR&amp;as_sdt=0%2C5</v>
      </c>
      <c r="J19" t="str">
        <f>IFERROR(__xludf.DUMMYFUNCTION("""COMPUTED_VALUE"""),"Realizado como parte do SBBD ou BRACIS")</f>
        <v>Realizado como parte do SBBD ou BRACIS</v>
      </c>
    </row>
    <row r="20">
      <c r="A20" t="str">
        <f>IFERROR(__xludf.DUMMYFUNCTION("""COMPUTED_VALUE"""),"LADC")</f>
        <v>LADC</v>
      </c>
      <c r="B20" t="str">
        <f>IFERROR(__xludf.DUMMYFUNCTION("""COMPUTED_VALUE"""),"Latin American Dependable Computing")</f>
        <v>Latin American Dependable Computing</v>
      </c>
      <c r="C20" s="60" t="str">
        <f>IFERROR(__xludf.DUMMYFUNCTION("""COMPUTED_VALUE"""),"https://sol.sbc.org.br/index.php/ladc")</f>
        <v>https://sol.sbc.org.br/index.php/ladc</v>
      </c>
      <c r="D20">
        <f>IFERROR(__xludf.DUMMYFUNCTION("""COMPUTED_VALUE"""),12.0)</f>
        <v>12</v>
      </c>
      <c r="G20">
        <f>IFERROR(__xludf.DUMMYFUNCTION("""COMPUTED_VALUE"""),2023.0)</f>
        <v>2023</v>
      </c>
      <c r="H20">
        <f>IFERROR(__xludf.DUMMYFUNCTION("""COMPUTED_VALUE"""),7.0)</f>
        <v>7</v>
      </c>
      <c r="I20" s="60" t="str">
        <f>IFERROR(__xludf.DUMMYFUNCTION("""COMPUTED_VALUE"""),"https://scholar.google.com.br/citations?hl=pt-BR&amp;view_op=list_hcore&amp;venue=Uge8gmLMz5wJ.2024")</f>
        <v>https://scholar.google.com.br/citations?hl=pt-BR&amp;view_op=list_hcore&amp;venue=Uge8gmLMz5wJ.2024</v>
      </c>
      <c r="J20" t="str">
        <f>IFERROR(__xludf.DUMMYFUNCTION("""COMPUTED_VALUE"""),"Publica os anais na ACM/Indexado na SOL desde 2021")</f>
        <v>Publica os anais na ACM/Indexado na SOL desde 2021</v>
      </c>
    </row>
    <row r="21">
      <c r="A21" t="str">
        <f>IFERROR(__xludf.DUMMYFUNCTION("""COMPUTED_VALUE"""),"LARS")</f>
        <v>LARS</v>
      </c>
      <c r="B21" t="str">
        <f>IFERROR(__xludf.DUMMYFUNCTION("""COMPUTED_VALUE"""),"Latin American Robotics Symposium")</f>
        <v>Latin American Robotics Symposium</v>
      </c>
      <c r="C21" s="60" t="str">
        <f>IFERROR(__xludf.DUMMYFUNCTION("""COMPUTED_VALUE"""),"https://sol.sbc.org.br/index.php/sbrlars")</f>
        <v>https://sol.sbc.org.br/index.php/sbrlars</v>
      </c>
      <c r="D21">
        <f>IFERROR(__xludf.DUMMYFUNCTION("""COMPUTED_VALUE"""),19.0)</f>
        <v>19</v>
      </c>
      <c r="G21">
        <f>IFERROR(__xludf.DUMMYFUNCTION("""COMPUTED_VALUE"""),2022.0)</f>
        <v>2022</v>
      </c>
      <c r="H21">
        <f>IFERROR(__xludf.DUMMYFUNCTION("""COMPUTED_VALUE"""),14.0)</f>
        <v>14</v>
      </c>
      <c r="I21" s="60" t="str">
        <f>IFERROR(__xludf.DUMMYFUNCTION("""COMPUTED_VALUE"""),"https://scholar.google.com.br/scholar?as_q=&amp;as_epq=&amp;as_oq=&amp;as_eq=&amp;as_occt=any&amp;as_sauthors=&amp;as_publication=Latin+American+Robotics+Symposium&amp;as_ylo=2019&amp;as_yhi=2023&amp;hl=pt-BR&amp;as_sdt=0%2C5")</f>
        <v>https://scholar.google.com.br/scholar?as_q=&amp;as_epq=&amp;as_oq=&amp;as_eq=&amp;as_occt=any&amp;as_sauthors=&amp;as_publication=Latin+American+Robotics+Symposium&amp;as_ylo=2019&amp;as_yhi=2023&amp;hl=pt-BR&amp;as_sdt=0%2C5</v>
      </c>
      <c r="J21" t="str">
        <f>IFERROR(__xludf.DUMMYFUNCTION("""COMPUTED_VALUE"""),"SBR, LARS e WRE publicam anais em conjunto")</f>
        <v>SBR, LARS e WRE publicam anais em conjunto</v>
      </c>
    </row>
    <row r="22">
      <c r="A22" t="str">
        <f>IFERROR(__xludf.DUMMYFUNCTION("""COMPUTED_VALUE"""),"MSSiS")</f>
        <v>MSSiS</v>
      </c>
      <c r="B22" t="str">
        <f>IFERROR(__xludf.DUMMYFUNCTION("""COMPUTED_VALUE"""),"Workshop em Modelagem e Simulação de Sistemas Intensivos em Software (MSSiS)")</f>
        <v>Workshop em Modelagem e Simulação de Sistemas Intensivos em Software (MSSiS)</v>
      </c>
      <c r="C22" s="60" t="str">
        <f>IFERROR(__xludf.DUMMYFUNCTION("""COMPUTED_VALUE"""),"https://sol.sbc.org.br/index.php/mssis/issue/archive")</f>
        <v>https://sol.sbc.org.br/index.php/mssis/issue/archive</v>
      </c>
      <c r="D22">
        <f>IFERROR(__xludf.DUMMYFUNCTION("""COMPUTED_VALUE"""),5.0)</f>
        <v>5</v>
      </c>
      <c r="G22">
        <f>IFERROR(__xludf.DUMMYFUNCTION("""COMPUTED_VALUE"""),2023.0)</f>
        <v>2023</v>
      </c>
      <c r="H22">
        <f>IFERROR(__xludf.DUMMYFUNCTION("""COMPUTED_VALUE"""),3.0)</f>
        <v>3</v>
      </c>
      <c r="I22" s="60" t="str">
        <f>IFERROR(__xludf.DUMMYFUNCTION("""COMPUTED_VALUE"""),"https://scholar.google.com.br/scholar?as_q=&amp;as_epq=&amp;as_oq=&amp;as_eq=&amp;as_occt=any&amp;as_sauthors=&amp;as_publication=Workshop+em+Modelagem+e+Simula%C3%A7%C3%A3o+de+Sistemas+Intensivos+em+Software&amp;as_ylo=2019&amp;as_yhi=2023&amp;hl=pt-BR&amp;as_sdt=0%2C5")</f>
        <v>https://scholar.google.com.br/scholar?as_q=&amp;as_epq=&amp;as_oq=&amp;as_eq=&amp;as_occt=any&amp;as_sauthors=&amp;as_publication=Workshop+em+Modelagem+e+Simula%C3%A7%C3%A3o+de+Sistemas+Intensivos+em+Software&amp;as_ylo=2019&amp;as_yhi=2023&amp;hl=pt-BR&amp;as_sdt=0%2C5</v>
      </c>
      <c r="J22" t="str">
        <f>IFERROR(__xludf.DUMMYFUNCTION("""COMPUTED_VALUE"""),"Realizado como parte do CBSoft")</f>
        <v>Realizado como parte do CBSoft</v>
      </c>
    </row>
    <row r="23">
      <c r="A23" t="str">
        <f>IFERROR(__xludf.DUMMYFUNCTION("""COMPUTED_VALUE"""),"OpenScienSE")</f>
        <v>OpenScienSE</v>
      </c>
      <c r="B23" t="str">
        <f>IFERROR(__xludf.DUMMYFUNCTION("""COMPUTED_VALUE"""),"Workshop de Práticas de Ciência Aberta para Engenharia de Software (OpenScienSE)")</f>
        <v>Workshop de Práticas de Ciência Aberta para Engenharia de Software (OpenScienSE)</v>
      </c>
      <c r="C23" s="60" t="str">
        <f>IFERROR(__xludf.DUMMYFUNCTION("""COMPUTED_VALUE"""),"https://sol.sbc.org.br/index.php/opensciense/issue/archive")</f>
        <v>https://sol.sbc.org.br/index.php/opensciense/issue/archive</v>
      </c>
      <c r="D23">
        <f>IFERROR(__xludf.DUMMYFUNCTION("""COMPUTED_VALUE"""),3.0)</f>
        <v>3</v>
      </c>
      <c r="G23">
        <f>IFERROR(__xludf.DUMMYFUNCTION("""COMPUTED_VALUE"""),2023.0)</f>
        <v>2023</v>
      </c>
      <c r="H23">
        <f>IFERROR(__xludf.DUMMYFUNCTION("""COMPUTED_VALUE"""),3.0)</f>
        <v>3</v>
      </c>
      <c r="I23" s="60" t="str">
        <f>IFERROR(__xludf.DUMMYFUNCTION("""COMPUTED_VALUE"""),"https://scholar.google.com.br/scholar?as_q=&amp;as_epq=&amp;as_oq=&amp;as_eq=&amp;as_occt=any&amp;as_sauthors=&amp;as_publication=Workshop+de+Pr%C3%A1ticas+de+Ci%C3%AAncia+Aberta+para+Engenharia+de+Software&amp;as_ylo=2019&amp;as_yhi=2023&amp;hl=pt-BR&amp;as_sdt=0%2C5")</f>
        <v>https://scholar.google.com.br/scholar?as_q=&amp;as_epq=&amp;as_oq=&amp;as_eq=&amp;as_occt=any&amp;as_sauthors=&amp;as_publication=Workshop+de+Pr%C3%A1ticas+de+Ci%C3%AAncia+Aberta+para+Engenharia+de+Software&amp;as_ylo=2019&amp;as_yhi=2023&amp;hl=pt-BR&amp;as_sdt=0%2C5</v>
      </c>
      <c r="J23" t="str">
        <f>IFERROR(__xludf.DUMMYFUNCTION("""COMPUTED_VALUE"""),"Realizado como parte do CBSoft/Apenas 2 edições de anais publicadas na SOL")</f>
        <v>Realizado como parte do CBSoft/Apenas 2 edições de anais publicadas na SOL</v>
      </c>
    </row>
    <row r="24">
      <c r="A24" t="str">
        <f>IFERROR(__xludf.DUMMYFUNCTION("""COMPUTED_VALUE"""),"SAFELIFE")</f>
        <v>SAFELIFE</v>
      </c>
      <c r="B24" t="str">
        <f>IFERROR(__xludf.DUMMYFUNCTION("""COMPUTED_VALUE"""),"Workshop on Safety, Security, and Privacy in Complex Artificial Intelligence based Systems (Safelife)")</f>
        <v>Workshop on Safety, Security, and Privacy in Complex Artificial Intelligence based Systems (Safelife)</v>
      </c>
      <c r="C24" s="60" t="str">
        <f>IFERROR(__xludf.DUMMYFUNCTION("""COMPUTED_VALUE"""),"https://sol.sbc.org.br/index.php/safelife/issue/archive")</f>
        <v>https://sol.sbc.org.br/index.php/safelife/issue/archive</v>
      </c>
      <c r="D24">
        <f>IFERROR(__xludf.DUMMYFUNCTION("""COMPUTED_VALUE"""),3.0)</f>
        <v>3</v>
      </c>
      <c r="G24">
        <f>IFERROR(__xludf.DUMMYFUNCTION("""COMPUTED_VALUE"""),2023.0)</f>
        <v>2023</v>
      </c>
      <c r="H24" t="str">
        <f>IFERROR(__xludf.DUMMYFUNCTION("""COMPUTED_VALUE"""),"---")</f>
        <v>---</v>
      </c>
      <c r="I24" t="str">
        <f>IFERROR(__xludf.DUMMYFUNCTION("""COMPUTED_VALUE"""),"---")</f>
        <v>---</v>
      </c>
      <c r="J24" t="str">
        <f>IFERROR(__xludf.DUMMYFUNCTION("""COMPUTED_VALUE"""),"Realizado como parte do CBSoft")</f>
        <v>Realizado como parte do CBSoft</v>
      </c>
    </row>
    <row r="25">
      <c r="A25" t="str">
        <f>IFERROR(__xludf.DUMMYFUNCTION("""COMPUTED_VALUE"""),"SAST")</f>
        <v>SAST</v>
      </c>
      <c r="B25" t="str">
        <f>IFERROR(__xludf.DUMMYFUNCTION("""COMPUTED_VALUE"""),"Simpósio Brasileiro de Teste de Software Sistemático e Automatizado")</f>
        <v>Simpósio Brasileiro de Teste de Software Sistemático e Automatizado</v>
      </c>
      <c r="C25" s="60" t="str">
        <f>IFERROR(__xludf.DUMMYFUNCTION("""COMPUTED_VALUE"""),"https://sol.sbc.org.br/index.php/sast")</f>
        <v>https://sol.sbc.org.br/index.php/sast</v>
      </c>
      <c r="D25">
        <f>IFERROR(__xludf.DUMMYFUNCTION("""COMPUTED_VALUE"""),8.0)</f>
        <v>8</v>
      </c>
      <c r="G25">
        <f>IFERROR(__xludf.DUMMYFUNCTION("""COMPUTED_VALUE"""),2023.0)</f>
        <v>2023</v>
      </c>
      <c r="H25">
        <f>IFERROR(__xludf.DUMMYFUNCTION("""COMPUTED_VALUE"""),8.0)</f>
        <v>8</v>
      </c>
      <c r="I25" s="60" t="str">
        <f>IFERROR(__xludf.DUMMYFUNCTION("""COMPUTED_VALUE"""),"https://scholar.google.com.br/scholar?as_q=&amp;as_epq=&amp;as_oq=&amp;as_eq=&amp;as_occt=any&amp;as_sauthors=&amp;as_publication=Brazilian+Symposium+on+Systematic+and+Automated+Software+Testing&amp;as_ylo=2019&amp;as_yhi=2023&amp;hl=pt-BR&amp;as_sdt=0%2C5")</f>
        <v>https://scholar.google.com.br/scholar?as_q=&amp;as_epq=&amp;as_oq=&amp;as_eq=&amp;as_occt=any&amp;as_sauthors=&amp;as_publication=Brazilian+Symposium+on+Systematic+and+Automated+Software+Testing&amp;as_ylo=2019&amp;as_yhi=2023&amp;hl=pt-BR&amp;as_sdt=0%2C5</v>
      </c>
      <c r="J25" t="str">
        <f>IFERROR(__xludf.DUMMYFUNCTION("""COMPUTED_VALUE"""),"Realizado como parte do CBSoft")</f>
        <v>Realizado como parte do CBSoft</v>
      </c>
    </row>
    <row r="26">
      <c r="A26" t="str">
        <f>IFERROR(__xludf.DUMMYFUNCTION("""COMPUTED_VALUE"""),"SBAC-PAD")</f>
        <v>SBAC-PAD</v>
      </c>
      <c r="B26" t="str">
        <f>IFERROR(__xludf.DUMMYFUNCTION("""COMPUTED_VALUE"""),"International Symposium on Computer Architecture and High Performance Computing")</f>
        <v>International Symposium on Computer Architecture and High Performance Computing</v>
      </c>
      <c r="C26" s="60" t="str">
        <f>IFERROR(__xludf.DUMMYFUNCTION("""COMPUTED_VALUE"""),"https://sol.sbc.org.br/index.php/sbac-pad/issue/archive")</f>
        <v>https://sol.sbc.org.br/index.php/sbac-pad/issue/archive</v>
      </c>
      <c r="D26">
        <f>IFERROR(__xludf.DUMMYFUNCTION("""COMPUTED_VALUE"""),35.0)</f>
        <v>35</v>
      </c>
      <c r="G26">
        <f>IFERROR(__xludf.DUMMYFUNCTION("""COMPUTED_VALUE"""),2023.0)</f>
        <v>2023</v>
      </c>
      <c r="H26">
        <f>IFERROR(__xludf.DUMMYFUNCTION("""COMPUTED_VALUE"""),12.0)</f>
        <v>12</v>
      </c>
      <c r="I26" s="60" t="str">
        <f>IFERROR(__xludf.DUMMYFUNCTION("""COMPUTED_VALUE"""),"https://scholar.google.com.br/citations?hl=pt-BR&amp;view_op=list_hcore&amp;venue=xujU2BmpDawJ.2024")</f>
        <v>https://scholar.google.com.br/citations?hl=pt-BR&amp;view_op=list_hcore&amp;venue=xujU2BmpDawJ.2024</v>
      </c>
      <c r="J26" t="str">
        <f>IFERROR(__xludf.DUMMYFUNCTION("""COMPUTED_VALUE"""),"Publica anais na IEEE")</f>
        <v>Publica anais na IEEE</v>
      </c>
    </row>
    <row r="27">
      <c r="A27" t="str">
        <f>IFERROR(__xludf.DUMMYFUNCTION("""COMPUTED_VALUE"""),"SBBD")</f>
        <v>SBBD</v>
      </c>
      <c r="B27" t="str">
        <f>IFERROR(__xludf.DUMMYFUNCTION("""COMPUTED_VALUE"""),"Simpósio Brasileiro de Bancos de Dados")</f>
        <v>Simpósio Brasileiro de Bancos de Dados</v>
      </c>
      <c r="C27" s="60" t="str">
        <f>IFERROR(__xludf.DUMMYFUNCTION("""COMPUTED_VALUE"""),"https://sol.sbc.org.br/index.php/sbbd")</f>
        <v>https://sol.sbc.org.br/index.php/sbbd</v>
      </c>
      <c r="D27">
        <f>IFERROR(__xludf.DUMMYFUNCTION("""COMPUTED_VALUE"""),38.0)</f>
        <v>38</v>
      </c>
      <c r="G27">
        <f>IFERROR(__xludf.DUMMYFUNCTION("""COMPUTED_VALUE"""),2023.0)</f>
        <v>2023</v>
      </c>
      <c r="H27">
        <f>IFERROR(__xludf.DUMMYFUNCTION("""COMPUTED_VALUE"""),7.0)</f>
        <v>7</v>
      </c>
      <c r="I27" s="60" t="str">
        <f>IFERROR(__xludf.DUMMYFUNCTION("""COMPUTED_VALUE"""),"https://scholar.google.com.br/citations?hl=pt-BR&amp;view_op=list_hcore&amp;venue=ixetonJUY2YJ.2024")</f>
        <v>https://scholar.google.com.br/citations?hl=pt-BR&amp;view_op=list_hcore&amp;venue=ixetonJUY2YJ.2024</v>
      </c>
      <c r="J27" t="str">
        <f>IFERROR(__xludf.DUMMYFUNCTION("""COMPUTED_VALUE"""),"Publica anais na SOL desde 2016")</f>
        <v>Publica anais na SOL desde 2016</v>
      </c>
    </row>
    <row r="28">
      <c r="A28" t="str">
        <f>IFERROR(__xludf.DUMMYFUNCTION("""COMPUTED_VALUE"""),"SBCARS")</f>
        <v>SBCARS</v>
      </c>
      <c r="B28" t="str">
        <f>IFERROR(__xludf.DUMMYFUNCTION("""COMPUTED_VALUE"""),"Simpósio Brasileiro de Componentes, Arquiteturas e Reutilização de Software")</f>
        <v>Simpósio Brasileiro de Componentes, Arquiteturas e Reutilização de Software</v>
      </c>
      <c r="C28" s="60" t="str">
        <f>IFERROR(__xludf.DUMMYFUNCTION("""COMPUTED_VALUE"""),"https://sol.sbc.org.br/index.php/sbcars")</f>
        <v>https://sol.sbc.org.br/index.php/sbcars</v>
      </c>
      <c r="D28">
        <f>IFERROR(__xludf.DUMMYFUNCTION("""COMPUTED_VALUE"""),17.0)</f>
        <v>17</v>
      </c>
      <c r="G28">
        <f>IFERROR(__xludf.DUMMYFUNCTION("""COMPUTED_VALUE"""),2023.0)</f>
        <v>2023</v>
      </c>
      <c r="H28">
        <f>IFERROR(__xludf.DUMMYFUNCTION("""COMPUTED_VALUE"""),9.0)</f>
        <v>9</v>
      </c>
      <c r="I28" s="60" t="str">
        <f>IFERROR(__xludf.DUMMYFUNCTION("""COMPUTED_VALUE"""),"https://scholar.google.com.br/scholar?as_q=&amp;as_epq=&amp;as_oq=&amp;as_eq=&amp;as_occt=any&amp;as_sauthors=&amp;as_publication=Brazilian+Symposium+on+Software+Components%2C+Architectures%2C+and+Reuse&amp;as_ylo=2019&amp;as_yhi=2023&amp;hl=pt-BR&amp;as_sdt=0%2C5")</f>
        <v>https://scholar.google.com.br/scholar?as_q=&amp;as_epq=&amp;as_oq=&amp;as_eq=&amp;as_occt=any&amp;as_sauthors=&amp;as_publication=Brazilian+Symposium+on+Software+Components%2C+Architectures%2C+and+Reuse&amp;as_ylo=2019&amp;as_yhi=2023&amp;hl=pt-BR&amp;as_sdt=0%2C5</v>
      </c>
      <c r="J28" t="str">
        <f>IFERROR(__xludf.DUMMYFUNCTION("""COMPUTED_VALUE"""),"Realizado como parte do CBSoft")</f>
        <v>Realizado como parte do CBSoft</v>
      </c>
    </row>
    <row r="29">
      <c r="A29" t="str">
        <f>IFERROR(__xludf.DUMMYFUNCTION("""COMPUTED_VALUE"""),"SBCAS")</f>
        <v>SBCAS</v>
      </c>
      <c r="B29" t="str">
        <f>IFERROR(__xludf.DUMMYFUNCTION("""COMPUTED_VALUE"""),"Simpósio Brasileiro de Computação Aplicada à Saúde")</f>
        <v>Simpósio Brasileiro de Computação Aplicada à Saúde</v>
      </c>
      <c r="C29" s="60" t="str">
        <f>IFERROR(__xludf.DUMMYFUNCTION("""COMPUTED_VALUE"""),"https://sol.sbc.org.br/index.php/sbcas")</f>
        <v>https://sol.sbc.org.br/index.php/sbcas</v>
      </c>
      <c r="D29">
        <f>IFERROR(__xludf.DUMMYFUNCTION("""COMPUTED_VALUE"""),24.0)</f>
        <v>24</v>
      </c>
      <c r="G29">
        <f>IFERROR(__xludf.DUMMYFUNCTION("""COMPUTED_VALUE"""),2024.0)</f>
        <v>2024</v>
      </c>
      <c r="H29">
        <f>IFERROR(__xludf.DUMMYFUNCTION("""COMPUTED_VALUE"""),7.0)</f>
        <v>7</v>
      </c>
      <c r="I29" s="60" t="str">
        <f>IFERROR(__xludf.DUMMYFUNCTION("""COMPUTED_VALUE"""),"https://scholar.google.com.br/citations?hl=pt-BR&amp;view_op=list_hcore&amp;venue=FToOQu3w6DQJ.2024")</f>
        <v>https://scholar.google.com.br/citations?hl=pt-BR&amp;view_op=list_hcore&amp;venue=FToOQu3w6DQJ.2024</v>
      </c>
      <c r="J29" t="str">
        <f>IFERROR(__xludf.DUMMYFUNCTION("""COMPUTED_VALUE"""),"Publica anais na SOL desde 2011")</f>
        <v>Publica anais na SOL desde 2011</v>
      </c>
    </row>
    <row r="30">
      <c r="A30" t="str">
        <f>IFERROR(__xludf.DUMMYFUNCTION("""COMPUTED_VALUE"""),"SBCCI")</f>
        <v>SBCCI</v>
      </c>
      <c r="B30" t="str">
        <f>IFERROR(__xludf.DUMMYFUNCTION("""COMPUTED_VALUE"""),"Simpósio Brasileiro de Concepção de Circuitos e Sistemas Integrados")</f>
        <v>Simpósio Brasileiro de Concepção de Circuitos e Sistemas Integrados</v>
      </c>
      <c r="C30" s="60" t="str">
        <f>IFERROR(__xludf.DUMMYFUNCTION("""COMPUTED_VALUE"""),"https://sol.sbc.org.br/index.php/sbcci")</f>
        <v>https://sol.sbc.org.br/index.php/sbcci</v>
      </c>
      <c r="D30">
        <f>IFERROR(__xludf.DUMMYFUNCTION("""COMPUTED_VALUE"""),33.0)</f>
        <v>33</v>
      </c>
      <c r="G30">
        <f>IFERROR(__xludf.DUMMYFUNCTION("""COMPUTED_VALUE"""),2020.0)</f>
        <v>2020</v>
      </c>
      <c r="H30">
        <f>IFERROR(__xludf.DUMMYFUNCTION("""COMPUTED_VALUE"""),10.0)</f>
        <v>10</v>
      </c>
      <c r="I30" s="60" t="str">
        <f>IFERROR(__xludf.DUMMYFUNCTION("""COMPUTED_VALUE"""),"https://scholar.google.com.br/citations?hl=pt-BR&amp;view_op=list_hcore&amp;venue=ce7ecw4OEFoJ.2024")</f>
        <v>https://scholar.google.com.br/citations?hl=pt-BR&amp;view_op=list_hcore&amp;venue=ce7ecw4OEFoJ.2024</v>
      </c>
      <c r="J30" t="str">
        <f>IFERROR(__xludf.DUMMYFUNCTION("""COMPUTED_VALUE"""),"Publica anais na IEEE. Apenas a edição de 2020 está indexada na SOL")</f>
        <v>Publica anais na IEEE. Apenas a edição de 2020 está indexada na SOL</v>
      </c>
    </row>
    <row r="31">
      <c r="A31" t="str">
        <f>IFERROR(__xludf.DUMMYFUNCTION("""COMPUTED_VALUE"""),"SBC-EB")</f>
        <v>SBC-EB</v>
      </c>
      <c r="B31" t="str">
        <f>IFERROR(__xludf.DUMMYFUNCTION("""COMPUTED_VALUE"""),"Simpósio Brasileiro de Computação na Educação Básica (SBC-EB)")</f>
        <v>Simpósio Brasileiro de Computação na Educação Básica (SBC-EB)</v>
      </c>
      <c r="C31" s="60" t="str">
        <f>IFERROR(__xludf.DUMMYFUNCTION("""COMPUTED_VALUE"""),"https://sol.sbc.org.br/index.php/sbceb/issue/archive")</f>
        <v>https://sol.sbc.org.br/index.php/sbceb/issue/archive</v>
      </c>
      <c r="D31">
        <f>IFERROR(__xludf.DUMMYFUNCTION("""COMPUTED_VALUE"""),1.0)</f>
        <v>1</v>
      </c>
      <c r="G31">
        <f>IFERROR(__xludf.DUMMYFUNCTION("""COMPUTED_VALUE"""),2024.0)</f>
        <v>2024</v>
      </c>
      <c r="H31" t="str">
        <f>IFERROR(__xludf.DUMMYFUNCTION("""COMPUTED_VALUE"""),"---")</f>
        <v>---</v>
      </c>
      <c r="I31" t="str">
        <f>IFERROR(__xludf.DUMMYFUNCTION("""COMPUTED_VALUE"""),"---")</f>
        <v>---</v>
      </c>
      <c r="J31" t="str">
        <f>IFERROR(__xludf.DUMMYFUNCTION("""COMPUTED_VALUE"""),"Evento criado em 2024")</f>
        <v>Evento criado em 2024</v>
      </c>
    </row>
    <row r="32">
      <c r="A32" t="str">
        <f>IFERROR(__xludf.DUMMYFUNCTION("""COMPUTED_VALUE"""),"SBCM")</f>
        <v>SBCM</v>
      </c>
      <c r="B32" t="str">
        <f>IFERROR(__xludf.DUMMYFUNCTION("""COMPUTED_VALUE"""),"Simpósio Brasileiro de Computação Musical")</f>
        <v>Simpósio Brasileiro de Computação Musical</v>
      </c>
      <c r="C32" s="60" t="str">
        <f>IFERROR(__xludf.DUMMYFUNCTION("""COMPUTED_VALUE"""),"https://sol.sbc.org.br/index.php/sbcm")</f>
        <v>https://sol.sbc.org.br/index.php/sbcm</v>
      </c>
      <c r="D32">
        <f>IFERROR(__xludf.DUMMYFUNCTION("""COMPUTED_VALUE"""),18.0)</f>
        <v>18</v>
      </c>
      <c r="G32">
        <f>IFERROR(__xludf.DUMMYFUNCTION("""COMPUTED_VALUE"""),2021.0)</f>
        <v>2021</v>
      </c>
      <c r="H32">
        <f>IFERROR(__xludf.DUMMYFUNCTION("""COMPUTED_VALUE"""),6.0)</f>
        <v>6</v>
      </c>
      <c r="I32" s="60" t="str">
        <f>IFERROR(__xludf.DUMMYFUNCTION("""COMPUTED_VALUE"""),"https://scholar.google.com.br/citations?hl=pt-BR&amp;view_op=list_hcore&amp;venue=MJ4po7WYCJ8J.2024")</f>
        <v>https://scholar.google.com.br/citations?hl=pt-BR&amp;view_op=list_hcore&amp;venue=MJ4po7WYCJ8J.2024</v>
      </c>
      <c r="J32" t="str">
        <f>IFERROR(__xludf.DUMMYFUNCTION("""COMPUTED_VALUE"""),"Evento bienal")</f>
        <v>Evento bienal</v>
      </c>
    </row>
    <row r="33">
      <c r="A33" t="str">
        <f>IFERROR(__xludf.DUMMYFUNCTION("""COMPUTED_VALUE"""),"SBCUP")</f>
        <v>SBCUP</v>
      </c>
      <c r="B33" t="str">
        <f>IFERROR(__xludf.DUMMYFUNCTION("""COMPUTED_VALUE"""),"Simpósio Brasileiro de Computação Ubíqua e Pervasiva")</f>
        <v>Simpósio Brasileiro de Computação Ubíqua e Pervasiva</v>
      </c>
      <c r="C33" s="60" t="str">
        <f>IFERROR(__xludf.DUMMYFUNCTION("""COMPUTED_VALUE"""),"https://sol.sbc.org.br/index.php/sbcup")</f>
        <v>https://sol.sbc.org.br/index.php/sbcup</v>
      </c>
      <c r="D33">
        <f>IFERROR(__xludf.DUMMYFUNCTION("""COMPUTED_VALUE"""),16.0)</f>
        <v>16</v>
      </c>
      <c r="G33">
        <f>IFERROR(__xludf.DUMMYFUNCTION("""COMPUTED_VALUE"""),2024.0)</f>
        <v>2024</v>
      </c>
      <c r="H33">
        <f>IFERROR(__xludf.DUMMYFUNCTION("""COMPUTED_VALUE"""),3.0)</f>
        <v>3</v>
      </c>
      <c r="I33" s="60" t="str">
        <f>IFERROR(__xludf.DUMMYFUNCTION("""COMPUTED_VALUE"""),"https://scholar.google.com.br/scholar?as_q=&amp;as_epq=&amp;as_oq=&amp;as_eq=&amp;as_occt=any&amp;as_sauthors=&amp;as_publication=Simp%C3%B3sio+Brasileiro+de+Computa%C3%A7%C3%A3o+Ub%C3%ADqua+e+Pervasiva&amp;as_ylo=2019&amp;as_yhi=2023&amp;hl=pt-BR&amp;as_sdt=0%2C5")</f>
        <v>https://scholar.google.com.br/scholar?as_q=&amp;as_epq=&amp;as_oq=&amp;as_eq=&amp;as_occt=any&amp;as_sauthors=&amp;as_publication=Simp%C3%B3sio+Brasileiro+de+Computa%C3%A7%C3%A3o+Ub%C3%ADqua+e+Pervasiva&amp;as_ylo=2019&amp;as_yhi=2023&amp;hl=pt-BR&amp;as_sdt=0%2C5</v>
      </c>
      <c r="J33" t="str">
        <f>IFERROR(__xludf.DUMMYFUNCTION("""COMPUTED_VALUE"""),"Realizado como parte do CSBC")</f>
        <v>Realizado como parte do CSBC</v>
      </c>
    </row>
    <row r="34">
      <c r="A34" t="str">
        <f>IFERROR(__xludf.DUMMYFUNCTION("""COMPUTED_VALUE"""),"SBES")</f>
        <v>SBES</v>
      </c>
      <c r="B34" t="str">
        <f>IFERROR(__xludf.DUMMYFUNCTION("""COMPUTED_VALUE"""),"Simpósio Brasileiro de Engenharia de Software")</f>
        <v>Simpósio Brasileiro de Engenharia de Software</v>
      </c>
      <c r="C34" s="60" t="str">
        <f>IFERROR(__xludf.DUMMYFUNCTION("""COMPUTED_VALUE"""),"https://sol.sbc.org.br/index.php/sbes")</f>
        <v>https://sol.sbc.org.br/index.php/sbes</v>
      </c>
      <c r="D34">
        <f>IFERROR(__xludf.DUMMYFUNCTION("""COMPUTED_VALUE"""),37.0)</f>
        <v>37</v>
      </c>
      <c r="G34">
        <f>IFERROR(__xludf.DUMMYFUNCTION("""COMPUTED_VALUE"""),2023.0)</f>
        <v>2023</v>
      </c>
      <c r="H34">
        <f>IFERROR(__xludf.DUMMYFUNCTION("""COMPUTED_VALUE"""),21.0)</f>
        <v>21</v>
      </c>
      <c r="I34" s="60" t="str">
        <f>IFERROR(__xludf.DUMMYFUNCTION("""COMPUTED_VALUE"""),"https://scholar.google.com.br/citations?hl=pt-BR&amp;view_op=list_hcore&amp;venue=rXEm9Hzg5P8J.2024")</f>
        <v>https://scholar.google.com.br/citations?hl=pt-BR&amp;view_op=list_hcore&amp;venue=rXEm9Hzg5P8J.2024</v>
      </c>
      <c r="J34" t="str">
        <f>IFERROR(__xludf.DUMMYFUNCTION("""COMPUTED_VALUE"""),"Realizado como parte do CBSoft")</f>
        <v>Realizado como parte do CBSoft</v>
      </c>
    </row>
    <row r="35">
      <c r="A35" t="str">
        <f>IFERROR(__xludf.DUMMYFUNCTION("""COMPUTED_VALUE"""),"SBESC")</f>
        <v>SBESC</v>
      </c>
      <c r="B35" t="str">
        <f>IFERROR(__xludf.DUMMYFUNCTION("""COMPUTED_VALUE"""),"Simpósio Brasileiro de Engenharia de Sistemas Computacionais")</f>
        <v>Simpósio Brasileiro de Engenharia de Sistemas Computacionais</v>
      </c>
      <c r="C35" s="60" t="str">
        <f>IFERROR(__xludf.DUMMYFUNCTION("""COMPUTED_VALUE"""),"https://sol.sbc.org.br/index.php/sbesc")</f>
        <v>https://sol.sbc.org.br/index.php/sbesc</v>
      </c>
      <c r="D35">
        <f>IFERROR(__xludf.DUMMYFUNCTION("""COMPUTED_VALUE"""),13.0)</f>
        <v>13</v>
      </c>
      <c r="G35">
        <f>IFERROR(__xludf.DUMMYFUNCTION("""COMPUTED_VALUE"""),2023.0)</f>
        <v>2023</v>
      </c>
      <c r="H35">
        <f>IFERROR(__xludf.DUMMYFUNCTION("""COMPUTED_VALUE"""),9.0)</f>
        <v>9</v>
      </c>
      <c r="I35" s="60" t="str">
        <f>IFERROR(__xludf.DUMMYFUNCTION("""COMPUTED_VALUE"""),"https://scholar.google.com.br/citations?hl=pt-BR&amp;view_op=list_hcore&amp;venue=EA9qTFRFeoUJ.2024")</f>
        <v>https://scholar.google.com.br/citations?hl=pt-BR&amp;view_op=list_hcore&amp;venue=EA9qTFRFeoUJ.2024</v>
      </c>
      <c r="J35" t="str">
        <f>IFERROR(__xludf.DUMMYFUNCTION("""COMPUTED_VALUE"""),"Publica anais na IEEE/Indexado na SOL desde 2018")</f>
        <v>Publica anais na IEEE/Indexado na SOL desde 2018</v>
      </c>
    </row>
    <row r="36">
      <c r="A36" t="str">
        <f>IFERROR(__xludf.DUMMYFUNCTION("""COMPUTED_VALUE"""),"SBGames")</f>
        <v>SBGames</v>
      </c>
      <c r="B36" t="str">
        <f>IFERROR(__xludf.DUMMYFUNCTION("""COMPUTED_VALUE"""),"Simpósio Brasileiro de Games e Entretenimento Digital")</f>
        <v>Simpósio Brasileiro de Games e Entretenimento Digital</v>
      </c>
      <c r="C36" s="60" t="str">
        <f>IFERROR(__xludf.DUMMYFUNCTION("""COMPUTED_VALUE"""),"https://sol.sbc.org.br/index.php/sbgames")</f>
        <v>https://sol.sbc.org.br/index.php/sbgames</v>
      </c>
      <c r="D36">
        <f>IFERROR(__xludf.DUMMYFUNCTION("""COMPUTED_VALUE"""),22.0)</f>
        <v>22</v>
      </c>
      <c r="G36">
        <f>IFERROR(__xludf.DUMMYFUNCTION("""COMPUTED_VALUE"""),2023.0)</f>
        <v>2023</v>
      </c>
      <c r="H36">
        <f>IFERROR(__xludf.DUMMYFUNCTION("""COMPUTED_VALUE"""),10.0)</f>
        <v>10</v>
      </c>
      <c r="I36" s="60" t="str">
        <f>IFERROR(__xludf.DUMMYFUNCTION("""COMPUTED_VALUE"""),"https://scholar.google.com.br/citations?hl=pt-BR&amp;view_op=list_hcore&amp;venue=ByeMqHL0dxAJ.2024")</f>
        <v>https://scholar.google.com.br/citations?hl=pt-BR&amp;view_op=list_hcore&amp;venue=ByeMqHL0dxAJ.2024</v>
      </c>
      <c r="J36" t="str">
        <f>IFERROR(__xludf.DUMMYFUNCTION("""COMPUTED_VALUE"""),"Publica anis na ACM")</f>
        <v>Publica anis na ACM</v>
      </c>
    </row>
    <row r="37">
      <c r="A37" t="str">
        <f>IFERROR(__xludf.DUMMYFUNCTION("""COMPUTED_VALUE"""),"SBIE")</f>
        <v>SBIE</v>
      </c>
      <c r="B37" t="str">
        <f>IFERROR(__xludf.DUMMYFUNCTION("""COMPUTED_VALUE"""),"Simpósio Brasileiro de Informática na Educação")</f>
        <v>Simpósio Brasileiro de Informática na Educação</v>
      </c>
      <c r="C37" s="60" t="str">
        <f>IFERROR(__xludf.DUMMYFUNCTION("""COMPUTED_VALUE"""),"https://sol.sbc.org.br/index.php/sbie")</f>
        <v>https://sol.sbc.org.br/index.php/sbie</v>
      </c>
      <c r="D37">
        <f>IFERROR(__xludf.DUMMYFUNCTION("""COMPUTED_VALUE"""),34.0)</f>
        <v>34</v>
      </c>
      <c r="G37">
        <f>IFERROR(__xludf.DUMMYFUNCTION("""COMPUTED_VALUE"""),2023.0)</f>
        <v>2023</v>
      </c>
      <c r="H37">
        <f>IFERROR(__xludf.DUMMYFUNCTION("""COMPUTED_VALUE"""),12.0)</f>
        <v>12</v>
      </c>
      <c r="I37" s="60" t="str">
        <f>IFERROR(__xludf.DUMMYFUNCTION("""COMPUTED_VALUE"""),"https://scholar.google.com.br/citations?hl=pt-BR&amp;view_op=list_hcore&amp;venue=bZewJV4aiRcJ.2024")</f>
        <v>https://scholar.google.com.br/citations?hl=pt-BR&amp;view_op=list_hcore&amp;venue=bZewJV4aiRcJ.2024</v>
      </c>
      <c r="J37" t="str">
        <f>IFERROR(__xludf.DUMMYFUNCTION("""COMPUTED_VALUE"""),"Realizado como parte do CBIE")</f>
        <v>Realizado como parte do CBIE</v>
      </c>
    </row>
    <row r="38">
      <c r="A38" t="str">
        <f>IFERROR(__xludf.DUMMYFUNCTION("""COMPUTED_VALUE"""),"SBLP")</f>
        <v>SBLP</v>
      </c>
      <c r="B38" t="str">
        <f>IFERROR(__xludf.DUMMYFUNCTION("""COMPUTED_VALUE"""),"Simpósio Brasileiro de Linguagens de Programação")</f>
        <v>Simpósio Brasileiro de Linguagens de Programação</v>
      </c>
      <c r="C38" s="60" t="str">
        <f>IFERROR(__xludf.DUMMYFUNCTION("""COMPUTED_VALUE"""),"https://sol.sbc.org.br/index.php/sblp")</f>
        <v>https://sol.sbc.org.br/index.php/sblp</v>
      </c>
      <c r="D38">
        <f>IFERROR(__xludf.DUMMYFUNCTION("""COMPUTED_VALUE"""),27.0)</f>
        <v>27</v>
      </c>
      <c r="G38">
        <f>IFERROR(__xludf.DUMMYFUNCTION("""COMPUTED_VALUE"""),2023.0)</f>
        <v>2023</v>
      </c>
      <c r="H38">
        <f>IFERROR(__xludf.DUMMYFUNCTION("""COMPUTED_VALUE"""),7.0)</f>
        <v>7</v>
      </c>
      <c r="I38" s="60" t="str">
        <f>IFERROR(__xludf.DUMMYFUNCTION("""COMPUTED_VALUE"""),"https://scholar.google.com.br/scholar?as_q=&amp;as_epq=&amp;as_oq=&amp;as_eq=&amp;as_occt=any&amp;as_sauthors=&amp;as_publication=Brazilian+Symposium+on+Programming+Languages&amp;as_ylo=2019&amp;as_yhi=2023&amp;hl=pt-BR&amp;as_sdt=0%2C5")</f>
        <v>https://scholar.google.com.br/scholar?as_q=&amp;as_epq=&amp;as_oq=&amp;as_eq=&amp;as_occt=any&amp;as_sauthors=&amp;as_publication=Brazilian+Symposium+on+Programming+Languages&amp;as_ylo=2019&amp;as_yhi=2023&amp;hl=pt-BR&amp;as_sdt=0%2C5</v>
      </c>
      <c r="J38" t="str">
        <f>IFERROR(__xludf.DUMMYFUNCTION("""COMPUTED_VALUE"""),"Realizado como parte do CBSoft")</f>
        <v>Realizado como parte do CBSoft</v>
      </c>
    </row>
    <row r="39">
      <c r="A39" t="str">
        <f>IFERROR(__xludf.DUMMYFUNCTION("""COMPUTED_VALUE"""),"SBMF")</f>
        <v>SBMF</v>
      </c>
      <c r="B39" t="str">
        <f>IFERROR(__xludf.DUMMYFUNCTION("""COMPUTED_VALUE"""),"Simpósio Brasileiro de Métodos Formais")</f>
        <v>Simpósio Brasileiro de Métodos Formais</v>
      </c>
      <c r="C39" s="60" t="str">
        <f>IFERROR(__xludf.DUMMYFUNCTION("""COMPUTED_VALUE"""),"https://sol.sbc.org.br/index.php/sbmf")</f>
        <v>https://sol.sbc.org.br/index.php/sbmf</v>
      </c>
      <c r="D39">
        <f>IFERROR(__xludf.DUMMYFUNCTION("""COMPUTED_VALUE"""),26.0)</f>
        <v>26</v>
      </c>
      <c r="G39">
        <f>IFERROR(__xludf.DUMMYFUNCTION("""COMPUTED_VALUE"""),2023.0)</f>
        <v>2023</v>
      </c>
      <c r="H39">
        <f>IFERROR(__xludf.DUMMYFUNCTION("""COMPUTED_VALUE"""),3.0)</f>
        <v>3</v>
      </c>
      <c r="I39" s="60" t="str">
        <f>IFERROR(__xludf.DUMMYFUNCTION("""COMPUTED_VALUE"""),"https://scholar.google.com.br/scholar?as_q=&amp;as_epq=&amp;as_oq=&amp;as_eq=&amp;as_occt=any&amp;as_sauthors=&amp;as_publication=Brazilian+Symposium+on+Formal+Methods&amp;as_ylo=2019&amp;as_yhi=2023&amp;hl=pt-BR&amp;as_sdt=0%2C5")</f>
        <v>https://scholar.google.com.br/scholar?as_q=&amp;as_epq=&amp;as_oq=&amp;as_eq=&amp;as_occt=any&amp;as_sauthors=&amp;as_publication=Brazilian+Symposium+on+Formal+Methods&amp;as_ylo=2019&amp;as_yhi=2023&amp;hl=pt-BR&amp;as_sdt=0%2C5</v>
      </c>
      <c r="J39" t="str">
        <f>IFERROR(__xludf.DUMMYFUNCTION("""COMPUTED_VALUE"""),"Publica anais na Springer")</f>
        <v>Publica anais na Springer</v>
      </c>
    </row>
    <row r="40">
      <c r="A40" t="str">
        <f>IFERROR(__xludf.DUMMYFUNCTION("""COMPUTED_VALUE"""),"SBQS")</f>
        <v>SBQS</v>
      </c>
      <c r="B40" t="str">
        <f>IFERROR(__xludf.DUMMYFUNCTION("""COMPUTED_VALUE"""),"Simpósio Brasileiro de Qualidade de Software")</f>
        <v>Simpósio Brasileiro de Qualidade de Software</v>
      </c>
      <c r="C40" s="60" t="str">
        <f>IFERROR(__xludf.DUMMYFUNCTION("""COMPUTED_VALUE"""),"https://sol.sbc.org.br/index.php/sbqs")</f>
        <v>https://sol.sbc.org.br/index.php/sbqs</v>
      </c>
      <c r="D40">
        <f>IFERROR(__xludf.DUMMYFUNCTION("""COMPUTED_VALUE"""),22.0)</f>
        <v>22</v>
      </c>
      <c r="G40">
        <f>IFERROR(__xludf.DUMMYFUNCTION("""COMPUTED_VALUE"""),2023.0)</f>
        <v>2023</v>
      </c>
      <c r="H40">
        <f>IFERROR(__xludf.DUMMYFUNCTION("""COMPUTED_VALUE"""),12.0)</f>
        <v>12</v>
      </c>
      <c r="I40" s="60" t="str">
        <f>IFERROR(__xludf.DUMMYFUNCTION("""COMPUTED_VALUE"""),"https://scholar.google.com.br/citations?hl=pt-BR&amp;view_op=list_hcore&amp;venue=21lpMhOn5OMJ.2024")</f>
        <v>https://scholar.google.com.br/citations?hl=pt-BR&amp;view_op=list_hcore&amp;venue=21lpMhOn5OMJ.2024</v>
      </c>
      <c r="J40" t="str">
        <f>IFERROR(__xludf.DUMMYFUNCTION("""COMPUTED_VALUE"""),"Publica anais na ACM")</f>
        <v>Publica anais na ACM</v>
      </c>
    </row>
    <row r="41">
      <c r="A41" t="str">
        <f>IFERROR(__xludf.DUMMYFUNCTION("""COMPUTED_VALUE"""),"SBR")</f>
        <v>SBR</v>
      </c>
      <c r="B41" t="str">
        <f>IFERROR(__xludf.DUMMYFUNCTION("""COMPUTED_VALUE"""),"Simpósio Brasileiro de Robótica")</f>
        <v>Simpósio Brasileiro de Robótica</v>
      </c>
      <c r="C41" s="60" t="str">
        <f>IFERROR(__xludf.DUMMYFUNCTION("""COMPUTED_VALUE"""),"https://sol.sbc.org.br/index.php/sbrlars")</f>
        <v>https://sol.sbc.org.br/index.php/sbrlars</v>
      </c>
      <c r="D41">
        <f>IFERROR(__xludf.DUMMYFUNCTION("""COMPUTED_VALUE"""),14.0)</f>
        <v>14</v>
      </c>
      <c r="G41">
        <f>IFERROR(__xludf.DUMMYFUNCTION("""COMPUTED_VALUE"""),2022.0)</f>
        <v>2022</v>
      </c>
      <c r="H41">
        <f>IFERROR(__xludf.DUMMYFUNCTION("""COMPUTED_VALUE"""),14.0)</f>
        <v>14</v>
      </c>
      <c r="I41" s="60" t="str">
        <f>IFERROR(__xludf.DUMMYFUNCTION("""COMPUTED_VALUE"""),"https://scholar.google.com.br/scholar?as_q=&amp;as_epq=&amp;as_oq=&amp;as_eq=&amp;as_occt=any&amp;as_sauthors=&amp;as_publication=Latin+American+Robotics+Symposium&amp;as_ylo=2019&amp;as_yhi=2023&amp;hl=pt-BR&amp;as_sdt=0%2C5")</f>
        <v>https://scholar.google.com.br/scholar?as_q=&amp;as_epq=&amp;as_oq=&amp;as_eq=&amp;as_occt=any&amp;as_sauthors=&amp;as_publication=Latin+American+Robotics+Symposium&amp;as_ylo=2019&amp;as_yhi=2023&amp;hl=pt-BR&amp;as_sdt=0%2C5</v>
      </c>
      <c r="J41" t="str">
        <f>IFERROR(__xludf.DUMMYFUNCTION("""COMPUTED_VALUE"""),"SBR, LARS e WRE publicam anais em conjunto")</f>
        <v>SBR, LARS e WRE publicam anais em conjunto</v>
      </c>
    </row>
    <row r="42">
      <c r="A42" t="str">
        <f>IFERROR(__xludf.DUMMYFUNCTION("""COMPUTED_VALUE"""),"SBRC")</f>
        <v>SBRC</v>
      </c>
      <c r="B42" t="str">
        <f>IFERROR(__xludf.DUMMYFUNCTION("""COMPUTED_VALUE"""),"Simpósio Brasileiro de Redes de Computadores e Sistemas Distribuídos")</f>
        <v>Simpósio Brasileiro de Redes de Computadores e Sistemas Distribuídos</v>
      </c>
      <c r="C42" s="60" t="str">
        <f>IFERROR(__xludf.DUMMYFUNCTION("""COMPUTED_VALUE"""),"https://sol.sbc.org.br/index.php/sbrc")</f>
        <v>https://sol.sbc.org.br/index.php/sbrc</v>
      </c>
      <c r="D42">
        <f>IFERROR(__xludf.DUMMYFUNCTION("""COMPUTED_VALUE"""),41.0)</f>
        <v>41</v>
      </c>
      <c r="G42">
        <f>IFERROR(__xludf.DUMMYFUNCTION("""COMPUTED_VALUE"""),2023.0)</f>
        <v>2023</v>
      </c>
      <c r="H42">
        <f>IFERROR(__xludf.DUMMYFUNCTION("""COMPUTED_VALUE"""),7.0)</f>
        <v>7</v>
      </c>
      <c r="I42" s="60" t="str">
        <f>IFERROR(__xludf.DUMMYFUNCTION("""COMPUTED_VALUE"""),"https://scholar.google.com.br/citations?hl=pt-BR&amp;view_op=list_hcore&amp;venue=3vnP2ksW2eAJ.2024")</f>
        <v>https://scholar.google.com.br/citations?hl=pt-BR&amp;view_op=list_hcore&amp;venue=3vnP2ksW2eAJ.2024</v>
      </c>
      <c r="J42" t="str">
        <f>IFERROR(__xludf.DUMMYFUNCTION("""COMPUTED_VALUE"""),"Publica anais na SOL")</f>
        <v>Publica anais na SOL</v>
      </c>
    </row>
    <row r="43">
      <c r="A43" t="str">
        <f>IFERROR(__xludf.DUMMYFUNCTION("""COMPUTED_VALUE"""),"SBSC")</f>
        <v>SBSC</v>
      </c>
      <c r="B43" t="str">
        <f>IFERROR(__xludf.DUMMYFUNCTION("""COMPUTED_VALUE"""),"Simpósio Brasileiro de Sistemas Colaborativos")</f>
        <v>Simpósio Brasileiro de Sistemas Colaborativos</v>
      </c>
      <c r="C43" s="60" t="str">
        <f>IFERROR(__xludf.DUMMYFUNCTION("""COMPUTED_VALUE"""),"https://sol.sbc.org.br/index.php/sbsc")</f>
        <v>https://sol.sbc.org.br/index.php/sbsc</v>
      </c>
      <c r="D43">
        <f>IFERROR(__xludf.DUMMYFUNCTION("""COMPUTED_VALUE"""),19.0)</f>
        <v>19</v>
      </c>
      <c r="G43">
        <f>IFERROR(__xludf.DUMMYFUNCTION("""COMPUTED_VALUE"""),2024.0)</f>
        <v>2024</v>
      </c>
      <c r="H43">
        <f>IFERROR(__xludf.DUMMYFUNCTION("""COMPUTED_VALUE"""),4.0)</f>
        <v>4</v>
      </c>
      <c r="I43" s="60" t="str">
        <f>IFERROR(__xludf.DUMMYFUNCTION("""COMPUTED_VALUE"""),"https://scholar.google.com.br/scholar?as_q=&amp;as_epq=&amp;as_oq=&amp;as_eq=&amp;as_occt=any&amp;as_sauthors=&amp;as_publication=Simp%C3%B3sio+Brasileiro+de+Sistemas+Colaborativos&amp;as_ylo=2019&amp;as_yhi=2023&amp;hl=pt-BR&amp;as_sdt=0%2C5")</f>
        <v>https://scholar.google.com.br/scholar?as_q=&amp;as_epq=&amp;as_oq=&amp;as_eq=&amp;as_occt=any&amp;as_sauthors=&amp;as_publication=Simp%C3%B3sio+Brasileiro+de+Sistemas+Colaborativos&amp;as_ylo=2019&amp;as_yhi=2023&amp;hl=pt-BR&amp;as_sdt=0%2C5</v>
      </c>
      <c r="J43" t="str">
        <f>IFERROR(__xludf.DUMMYFUNCTION("""COMPUTED_VALUE"""),"Não teve edições em 2018 e 2020")</f>
        <v>Não teve edições em 2018 e 2020</v>
      </c>
    </row>
    <row r="44">
      <c r="A44" t="str">
        <f>IFERROR(__xludf.DUMMYFUNCTION("""COMPUTED_VALUE"""),"SBSeg")</f>
        <v>SBSeg</v>
      </c>
      <c r="B44" t="str">
        <f>IFERROR(__xludf.DUMMYFUNCTION("""COMPUTED_VALUE"""),"Simpósio Brasileiro de Segurança da Informação e Sistemas Computacionais")</f>
        <v>Simpósio Brasileiro de Segurança da Informação e Sistemas Computacionais</v>
      </c>
      <c r="C44" s="60" t="str">
        <f>IFERROR(__xludf.DUMMYFUNCTION("""COMPUTED_VALUE"""),"https://sol.sbc.org.br/index.php/sbseg")</f>
        <v>https://sol.sbc.org.br/index.php/sbseg</v>
      </c>
      <c r="D44">
        <f>IFERROR(__xludf.DUMMYFUNCTION("""COMPUTED_VALUE"""),23.0)</f>
        <v>23</v>
      </c>
      <c r="G44">
        <f>IFERROR(__xludf.DUMMYFUNCTION("""COMPUTED_VALUE"""),2023.0)</f>
        <v>2023</v>
      </c>
      <c r="H44">
        <f>IFERROR(__xludf.DUMMYFUNCTION("""COMPUTED_VALUE"""),4.0)</f>
        <v>4</v>
      </c>
      <c r="I44" s="60" t="str">
        <f>IFERROR(__xludf.DUMMYFUNCTION("""COMPUTED_VALUE"""),"https://scholar.google.com.br/citations?hl=pt-BR&amp;view_op=list_hcore&amp;venue=Dsyl66B8iM0J.2024")</f>
        <v>https://scholar.google.com.br/citations?hl=pt-BR&amp;view_op=list_hcore&amp;venue=Dsyl66B8iM0J.2024</v>
      </c>
      <c r="J44" t="str">
        <f>IFERROR(__xludf.DUMMYFUNCTION("""COMPUTED_VALUE"""),"Tem todas as edições publicadas na SOL")</f>
        <v>Tem todas as edições publicadas na SOL</v>
      </c>
    </row>
    <row r="45">
      <c r="A45" t="str">
        <f>IFERROR(__xludf.DUMMYFUNCTION("""COMPUTED_VALUE"""),"SBSI")</f>
        <v>SBSI</v>
      </c>
      <c r="B45" t="str">
        <f>IFERROR(__xludf.DUMMYFUNCTION("""COMPUTED_VALUE"""),"Simpósio Brasileiro de Sistemas de Informação")</f>
        <v>Simpósio Brasileiro de Sistemas de Informação</v>
      </c>
      <c r="C45" s="60" t="str">
        <f>IFERROR(__xludf.DUMMYFUNCTION("""COMPUTED_VALUE"""),"https://sol.sbc.org.br/index.php/sbsi")</f>
        <v>https://sol.sbc.org.br/index.php/sbsi</v>
      </c>
      <c r="D45">
        <f>IFERROR(__xludf.DUMMYFUNCTION("""COMPUTED_VALUE"""),19.0)</f>
        <v>19</v>
      </c>
      <c r="G45">
        <f>IFERROR(__xludf.DUMMYFUNCTION("""COMPUTED_VALUE"""),2023.0)</f>
        <v>2023</v>
      </c>
      <c r="H45">
        <f>IFERROR(__xludf.DUMMYFUNCTION("""COMPUTED_VALUE"""),11.0)</f>
        <v>11</v>
      </c>
      <c r="I45" s="60" t="str">
        <f>IFERROR(__xludf.DUMMYFUNCTION("""COMPUTED_VALUE"""),"https://scholar.google.com.br/citations?hl=pt-BR&amp;view_op=list_hcore&amp;venue=Uj60OIiJKkQJ.2024")</f>
        <v>https://scholar.google.com.br/citations?hl=pt-BR&amp;view_op=list_hcore&amp;venue=Uj60OIiJKkQJ.2024</v>
      </c>
      <c r="J45" t="str">
        <f>IFERROR(__xludf.DUMMYFUNCTION("""COMPUTED_VALUE"""),"Publica anais na ACM/Tem todas as edições indexadas ou publicadas na SOL")</f>
        <v>Publica anais na ACM/Tem todas as edições indexadas ou publicadas na SOL</v>
      </c>
    </row>
    <row r="46">
      <c r="A46" t="str">
        <f>IFERROR(__xludf.DUMMYFUNCTION("""COMPUTED_VALUE"""),"SEMISH")</f>
        <v>SEMISH</v>
      </c>
      <c r="B46" t="str">
        <f>IFERROR(__xludf.DUMMYFUNCTION("""COMPUTED_VALUE"""),"Seminário Integrado de Software e Hardware")</f>
        <v>Seminário Integrado de Software e Hardware</v>
      </c>
      <c r="C46" s="60" t="str">
        <f>IFERROR(__xludf.DUMMYFUNCTION("""COMPUTED_VALUE"""),"https://sol.sbc.org.br/index.php/semish")</f>
        <v>https://sol.sbc.org.br/index.php/semish</v>
      </c>
      <c r="D46">
        <f>IFERROR(__xludf.DUMMYFUNCTION("""COMPUTED_VALUE"""),51.0)</f>
        <v>51</v>
      </c>
      <c r="F46" t="str">
        <f>IFERROR(__xludf.DUMMYFUNCTION("""COMPUTED_VALUE"""),"CSBC")</f>
        <v>CSBC</v>
      </c>
      <c r="G46">
        <f>IFERROR(__xludf.DUMMYFUNCTION("""COMPUTED_VALUE"""),2024.0)</f>
        <v>2024</v>
      </c>
      <c r="H46">
        <f>IFERROR(__xludf.DUMMYFUNCTION("""COMPUTED_VALUE"""),6.0)</f>
        <v>6</v>
      </c>
      <c r="I46" s="60" t="str">
        <f>IFERROR(__xludf.DUMMYFUNCTION("""COMPUTED_VALUE"""),"https://scholar.google.com.br/scholar?as_q=&amp;as_epq=&amp;as_oq=&amp;as_eq=&amp;as_occt=any&amp;as_sauthors=&amp;as_publication=Semin%C3%A1rio+Integrado+de+Software+e+Hardware&amp;as_ylo=&amp;as_yhi=&amp;hl=pt-BR&amp;as_sdt=0%2C5")</f>
        <v>https://scholar.google.com.br/scholar?as_q=&amp;as_epq=&amp;as_oq=&amp;as_eq=&amp;as_occt=any&amp;as_sauthors=&amp;as_publication=Semin%C3%A1rio+Integrado+de+Software+e+Hardware&amp;as_ylo=&amp;as_yhi=&amp;hl=pt-BR&amp;as_sdt=0%2C5</v>
      </c>
      <c r="J46" t="str">
        <f>IFERROR(__xludf.DUMMYFUNCTION("""COMPUTED_VALUE"""),"Realizado como parte do CSBC. Anais publicados na SOL desde 2011")</f>
        <v>Realizado como parte do CSBC. Anais publicados na SOL desde 2011</v>
      </c>
    </row>
    <row r="47">
      <c r="A47" t="str">
        <f>IFERROR(__xludf.DUMMYFUNCTION("""COMPUTED_VALUE"""),"SIBGRAPI")</f>
        <v>SIBGRAPI</v>
      </c>
      <c r="B47" t="str">
        <f>IFERROR(__xludf.DUMMYFUNCTION("""COMPUTED_VALUE"""),"Conference on Graphics, Patterns and Images")</f>
        <v>Conference on Graphics, Patterns and Images</v>
      </c>
      <c r="C47" s="60" t="str">
        <f>IFERROR(__xludf.DUMMYFUNCTION("""COMPUTED_VALUE"""),"https://sol.sbc.org.br/index.php/sibgrapi")</f>
        <v>https://sol.sbc.org.br/index.php/sibgrapi</v>
      </c>
      <c r="D47">
        <f>IFERROR(__xludf.DUMMYFUNCTION("""COMPUTED_VALUE"""),36.0)</f>
        <v>36</v>
      </c>
      <c r="G47">
        <f>IFERROR(__xludf.DUMMYFUNCTION("""COMPUTED_VALUE"""),2023.0)</f>
        <v>2023</v>
      </c>
      <c r="H47">
        <f>IFERROR(__xludf.DUMMYFUNCTION("""COMPUTED_VALUE"""),23.0)</f>
        <v>23</v>
      </c>
      <c r="I47" s="60" t="str">
        <f>IFERROR(__xludf.DUMMYFUNCTION("""COMPUTED_VALUE"""),"https://scholar.google.com.br/citations?hl=pt-BR&amp;view_op=list_hcore&amp;venue=sPLlun2OWTwJ.2024")</f>
        <v>https://scholar.google.com.br/citations?hl=pt-BR&amp;view_op=list_hcore&amp;venue=sPLlun2OWTwJ.2024</v>
      </c>
      <c r="J47" t="str">
        <f>IFERROR(__xludf.DUMMYFUNCTION("""COMPUTED_VALUE"""),"Publica anais na IEEE/Indexado na SOL desde 2019")</f>
        <v>Publica anais na IEEE/Indexado na SOL desde 2019</v>
      </c>
    </row>
    <row r="48">
      <c r="A48" t="str">
        <f>IFERROR(__xludf.DUMMYFUNCTION("""COMPUTED_VALUE"""),"SSCAD")</f>
        <v>SSCAD</v>
      </c>
      <c r="B48" t="str">
        <f>IFERROR(__xludf.DUMMYFUNCTION("""COMPUTED_VALUE"""),"Simpósio em Sistemas Computacionais de Alto Desempenho")</f>
        <v>Simpósio em Sistemas Computacionais de Alto Desempenho</v>
      </c>
      <c r="C48" s="60" t="str">
        <f>IFERROR(__xludf.DUMMYFUNCTION("""COMPUTED_VALUE"""),"https://sol.sbc.org.br/index.php/sscad")</f>
        <v>https://sol.sbc.org.br/index.php/sscad</v>
      </c>
      <c r="D48">
        <f>IFERROR(__xludf.DUMMYFUNCTION("""COMPUTED_VALUE"""),24.0)</f>
        <v>24</v>
      </c>
      <c r="G48">
        <f>IFERROR(__xludf.DUMMYFUNCTION("""COMPUTED_VALUE"""),2023.0)</f>
        <v>2023</v>
      </c>
      <c r="H48">
        <f>IFERROR(__xludf.DUMMYFUNCTION("""COMPUTED_VALUE"""),5.0)</f>
        <v>5</v>
      </c>
      <c r="I48" s="60" t="str">
        <f>IFERROR(__xludf.DUMMYFUNCTION("""COMPUTED_VALUE"""),"https://scholar.google.com.br/citations?hl=pt-BR&amp;view_op=list_hcore&amp;venue=MZeKedZe-5YJ.2024")</f>
        <v>https://scholar.google.com.br/citations?hl=pt-BR&amp;view_op=list_hcore&amp;venue=MZeKedZe-5YJ.2024</v>
      </c>
      <c r="J48" t="str">
        <f>IFERROR(__xludf.DUMMYFUNCTION("""COMPUTED_VALUE"""),"Tem todas as edições publicadas na SOL")</f>
        <v>Tem todas as edições publicadas na SOL</v>
      </c>
    </row>
    <row r="49">
      <c r="A49" t="str">
        <f>IFERROR(__xludf.DUMMYFUNCTION("""COMPUTED_VALUE"""),"STIL")</f>
        <v>STIL</v>
      </c>
      <c r="B49" t="str">
        <f>IFERROR(__xludf.DUMMYFUNCTION("""COMPUTED_VALUE"""),"Symposium in Information and Human Language Technology")</f>
        <v>Symposium in Information and Human Language Technology</v>
      </c>
      <c r="C49" s="60" t="str">
        <f>IFERROR(__xludf.DUMMYFUNCTION("""COMPUTED_VALUE"""),"https://sol.sbc.org.br/index.php/stil")</f>
        <v>https://sol.sbc.org.br/index.php/stil</v>
      </c>
      <c r="D49">
        <f>IFERROR(__xludf.DUMMYFUNCTION("""COMPUTED_VALUE"""),14.0)</f>
        <v>14</v>
      </c>
      <c r="G49">
        <f>IFERROR(__xludf.DUMMYFUNCTION("""COMPUTED_VALUE"""),2023.0)</f>
        <v>2023</v>
      </c>
      <c r="H49">
        <f>IFERROR(__xludf.DUMMYFUNCTION("""COMPUTED_VALUE"""),5.0)</f>
        <v>5</v>
      </c>
      <c r="I49" s="60" t="str">
        <f>IFERROR(__xludf.DUMMYFUNCTION("""COMPUTED_VALUE"""),"https://scholar.google.com.br/scholar?as_q=&amp;as_epq=&amp;as_oq=&amp;as_eq=&amp;as_occt=any&amp;as_sauthors=&amp;as_publication=Symposium+in+Information+and+Human+Language+Technology&amp;as_ylo=2019&amp;as_yhi=2023&amp;hl=pt-BR&amp;as_sdt=0%2C5")</f>
        <v>https://scholar.google.com.br/scholar?as_q=&amp;as_epq=&amp;as_oq=&amp;as_eq=&amp;as_occt=any&amp;as_sauthors=&amp;as_publication=Symposium+in+Information+and+Human+Language+Technology&amp;as_ylo=2019&amp;as_yhi=2023&amp;hl=pt-BR&amp;as_sdt=0%2C5</v>
      </c>
      <c r="J49" t="str">
        <f>IFERROR(__xludf.DUMMYFUNCTION("""COMPUTED_VALUE"""),"Publica anais na SOL/Evento bienal/Não publicou edição de 2019")</f>
        <v>Publica anais na SOL/Evento bienal/Não publicou edição de 2019</v>
      </c>
    </row>
    <row r="50">
      <c r="A50" t="str">
        <f>IFERROR(__xludf.DUMMYFUNCTION("""COMPUTED_VALUE"""),"SVR")</f>
        <v>SVR</v>
      </c>
      <c r="B50" t="str">
        <f>IFERROR(__xludf.DUMMYFUNCTION("""COMPUTED_VALUE"""),"Symposium on Virtual and Augmented Reality")</f>
        <v>Symposium on Virtual and Augmented Reality</v>
      </c>
      <c r="C50" s="60" t="str">
        <f>IFERROR(__xludf.DUMMYFUNCTION("""COMPUTED_VALUE"""),"https://sol.sbc.org.br/index.php/svr")</f>
        <v>https://sol.sbc.org.br/index.php/svr</v>
      </c>
      <c r="D50">
        <f>IFERROR(__xludf.DUMMYFUNCTION("""COMPUTED_VALUE"""),25.0)</f>
        <v>25</v>
      </c>
      <c r="G50">
        <f>IFERROR(__xludf.DUMMYFUNCTION("""COMPUTED_VALUE"""),2023.0)</f>
        <v>2023</v>
      </c>
      <c r="H50">
        <f>IFERROR(__xludf.DUMMYFUNCTION("""COMPUTED_VALUE"""),14.0)</f>
        <v>14</v>
      </c>
      <c r="I50" s="60" t="str">
        <f>IFERROR(__xludf.DUMMYFUNCTION("""COMPUTED_VALUE"""),"https://scholar.google.com.br/citations?hl=pt-BR&amp;view_op=list_hcore&amp;venue=Y15SCgN8Um8J.2024")</f>
        <v>https://scholar.google.com.br/citations?hl=pt-BR&amp;view_op=list_hcore&amp;venue=Y15SCgN8Um8J.2024</v>
      </c>
      <c r="J50" t="str">
        <f>IFERROR(__xludf.DUMMYFUNCTION("""COMPUTED_VALUE"""),"Publica anais na ACM")</f>
        <v>Publica anais na ACM</v>
      </c>
    </row>
    <row r="51">
      <c r="A51" t="str">
        <f>IFERROR(__xludf.DUMMYFUNCTION("""COMPUTED_VALUE"""),"VEM")</f>
        <v>VEM</v>
      </c>
      <c r="B51" t="str">
        <f>IFERROR(__xludf.DUMMYFUNCTION("""COMPUTED_VALUE"""),"Workshop de Visualização, Evolução e Manutenção de Software (VEM)")</f>
        <v>Workshop de Visualização, Evolução e Manutenção de Software (VEM)</v>
      </c>
      <c r="C51" s="60" t="str">
        <f>IFERROR(__xludf.DUMMYFUNCTION("""COMPUTED_VALUE"""),"https://sol.sbc.org.br/index.php/vem/issue/archive")</f>
        <v>https://sol.sbc.org.br/index.php/vem/issue/archive</v>
      </c>
      <c r="D51">
        <f>IFERROR(__xludf.DUMMYFUNCTION("""COMPUTED_VALUE"""),11.0)</f>
        <v>11</v>
      </c>
      <c r="G51">
        <f>IFERROR(__xludf.DUMMYFUNCTION("""COMPUTED_VALUE"""),2023.0)</f>
        <v>2023</v>
      </c>
      <c r="H51">
        <f>IFERROR(__xludf.DUMMYFUNCTION("""COMPUTED_VALUE"""),4.0)</f>
        <v>4</v>
      </c>
      <c r="I51" s="60" t="str">
        <f>IFERROR(__xludf.DUMMYFUNCTION("""COMPUTED_VALUE"""),"https://scholar.google.com.br/scholar?as_q=&amp;as_epq=&amp;as_oq=&amp;as_eq=&amp;as_occt=any&amp;as_sauthors=&amp;as_publication=Workshop+de+Visualiza%C3%A7%C3%A3o%2C+Evolu%C3%A7%C3%A3o+e+Manuten%C3%A7%C3%A3o+de+Software&amp;as_ylo=2019&amp;as_yhi=2023&amp;hl=pt-BR&amp;as_sdt=0%2C5")</f>
        <v>https://scholar.google.com.br/scholar?as_q=&amp;as_epq=&amp;as_oq=&amp;as_eq=&amp;as_occt=any&amp;as_sauthors=&amp;as_publication=Workshop+de+Visualiza%C3%A7%C3%A3o%2C+Evolu%C3%A7%C3%A3o+e+Manuten%C3%A7%C3%A3o+de+Software&amp;as_ylo=2019&amp;as_yhi=2023&amp;hl=pt-BR&amp;as_sdt=0%2C5</v>
      </c>
      <c r="J51" t="str">
        <f>IFERROR(__xludf.DUMMYFUNCTION("""COMPUTED_VALUE"""),"Realizado como parte do CBSoft")</f>
        <v>Realizado como parte do CBSoft</v>
      </c>
    </row>
    <row r="52">
      <c r="A52" t="str">
        <f>IFERROR(__xludf.DUMMYFUNCTION("""COMPUTED_VALUE"""),"W6G")</f>
        <v>W6G</v>
      </c>
      <c r="B52" t="str">
        <f>IFERROR(__xludf.DUMMYFUNCTION("""COMPUTED_VALUE"""),"Workshop de Redes 6G (W6G)")</f>
        <v>Workshop de Redes 6G (W6G)</v>
      </c>
      <c r="C52" s="60" t="str">
        <f>IFERROR(__xludf.DUMMYFUNCTION("""COMPUTED_VALUE"""),"https://sol.sbc.org.br/index.php/w6g/issue/archive")</f>
        <v>https://sol.sbc.org.br/index.php/w6g/issue/archive</v>
      </c>
      <c r="D52">
        <f>IFERROR(__xludf.DUMMYFUNCTION("""COMPUTED_VALUE"""),4.0)</f>
        <v>4</v>
      </c>
      <c r="G52">
        <f>IFERROR(__xludf.DUMMYFUNCTION("""COMPUTED_VALUE"""),2024.0)</f>
        <v>2024</v>
      </c>
      <c r="H52">
        <f>IFERROR(__xludf.DUMMYFUNCTION("""COMPUTED_VALUE"""),2.0)</f>
        <v>2</v>
      </c>
      <c r="I52" s="60" t="str">
        <f>IFERROR(__xludf.DUMMYFUNCTION("""COMPUTED_VALUE"""),"https://scholar.google.com.br/scholar?as_q=&amp;as_epq=&amp;as_oq=&amp;as_eq=&amp;as_occt=any&amp;as_sauthors=&amp;as_publication=Workshop+de+Redes+6G&amp;as_ylo=2019&amp;as_yhi=2023&amp;hl=pt-BR&amp;as_sdt=0%2C5")</f>
        <v>https://scholar.google.com.br/scholar?as_q=&amp;as_epq=&amp;as_oq=&amp;as_eq=&amp;as_occt=any&amp;as_sauthors=&amp;as_publication=Workshop+de+Redes+6G&amp;as_ylo=2019&amp;as_yhi=2023&amp;hl=pt-BR&amp;as_sdt=0%2C5</v>
      </c>
      <c r="J52" t="str">
        <f>IFERROR(__xludf.DUMMYFUNCTION("""COMPUTED_VALUE"""),"Realizado como parte do SBRC")</f>
        <v>Realizado como parte do SBRC</v>
      </c>
    </row>
    <row r="53">
      <c r="A53" t="str">
        <f>IFERROR(__xludf.DUMMYFUNCTION("""COMPUTED_VALUE"""),"WAIHCWS")</f>
        <v>WAIHCWS</v>
      </c>
      <c r="B53" t="str">
        <f>IFERROR(__xludf.DUMMYFUNCTION("""COMPUTED_VALUE"""),"Workshop sobre Aspectos da Interação Humano-Computador na Web Social (WAIHCWS)")</f>
        <v>Workshop sobre Aspectos da Interação Humano-Computador na Web Social (WAIHCWS)</v>
      </c>
      <c r="C53" s="60" t="str">
        <f>IFERROR(__xludf.DUMMYFUNCTION("""COMPUTED_VALUE"""),"https://sol.sbc.org.br/index.php/waihcws/issue/archive")</f>
        <v>https://sol.sbc.org.br/index.php/waihcws/issue/archive</v>
      </c>
      <c r="D53">
        <f>IFERROR(__xludf.DUMMYFUNCTION("""COMPUTED_VALUE"""),14.0)</f>
        <v>14</v>
      </c>
      <c r="E53">
        <f>IFERROR(__xludf.DUMMYFUNCTION("""COMPUTED_VALUE"""),2009.0)</f>
        <v>2009</v>
      </c>
      <c r="F53" t="str">
        <f>IFERROR(__xludf.DUMMYFUNCTION("""COMPUTED_VALUE"""),"CE-IHC")</f>
        <v>CE-IHC</v>
      </c>
      <c r="G53">
        <f>IFERROR(__xludf.DUMMYFUNCTION("""COMPUTED_VALUE"""),2023.0)</f>
        <v>2023</v>
      </c>
      <c r="H53">
        <f>IFERROR(__xludf.DUMMYFUNCTION("""COMPUTED_VALUE"""),4.0)</f>
        <v>4</v>
      </c>
      <c r="I53" s="60" t="str">
        <f>IFERROR(__xludf.DUMMYFUNCTION("""COMPUTED_VALUE"""),"https://scholar.google.com.br/scholar?as_q=&amp;as_epq=&amp;as_oq=&amp;as_eq=&amp;as_occt=any&amp;as_sauthors=&amp;as_publication=Workshop+sobre+Aspectos+da+Intera%C3%A7%C3%A3o&amp;as_ylo=2019&amp;as_yhi=2023&amp;hl=pt-BR&amp;as_sdt=0%2C5")</f>
        <v>https://scholar.google.com.br/scholar?as_q=&amp;as_epq=&amp;as_oq=&amp;as_eq=&amp;as_occt=any&amp;as_sauthors=&amp;as_publication=Workshop+sobre+Aspectos+da+Intera%C3%A7%C3%A3o&amp;as_ylo=2019&amp;as_yhi=2023&amp;hl=pt-BR&amp;as_sdt=0%2C5</v>
      </c>
      <c r="J53" t="str">
        <f>IFERROR(__xludf.DUMMYFUNCTION("""COMPUTED_VALUE"""),"Realizado como parte do IHC.")</f>
        <v>Realizado como parte do IHC.</v>
      </c>
    </row>
    <row r="54">
      <c r="A54" t="str">
        <f>IFERROR(__xludf.DUMMYFUNCTION("""COMPUTED_VALUE"""),"WAPLA")</f>
        <v>WAPLA</v>
      </c>
      <c r="B54" t="str">
        <f>IFERROR(__xludf.DUMMYFUNCTION("""COMPUTED_VALUE"""),"Workshop de Aplicações Práticas de Learning Analytics em Instituições de Ensino no Brasil (WAPLA)")</f>
        <v>Workshop de Aplicações Práticas de Learning Analytics em Instituições de Ensino no Brasil (WAPLA)</v>
      </c>
      <c r="C54" s="60" t="str">
        <f>IFERROR(__xludf.DUMMYFUNCTION("""COMPUTED_VALUE"""),"https://sol.sbc.org.br/index.php/wapla/issue/archive")</f>
        <v>https://sol.sbc.org.br/index.php/wapla/issue/archive</v>
      </c>
      <c r="D54">
        <f>IFERROR(__xludf.DUMMYFUNCTION("""COMPUTED_VALUE"""),2.0)</f>
        <v>2</v>
      </c>
      <c r="G54">
        <f>IFERROR(__xludf.DUMMYFUNCTION("""COMPUTED_VALUE"""),2023.0)</f>
        <v>2023</v>
      </c>
      <c r="H54" t="str">
        <f>IFERROR(__xludf.DUMMYFUNCTION("""COMPUTED_VALUE"""),"---")</f>
        <v>---</v>
      </c>
      <c r="I54" t="str">
        <f>IFERROR(__xludf.DUMMYFUNCTION("""COMPUTED_VALUE"""),"---")</f>
        <v>---</v>
      </c>
      <c r="J54" t="str">
        <f>IFERROR(__xludf.DUMMYFUNCTION("""COMPUTED_VALUE"""),"Realizado como parte do CBIE")</f>
        <v>Realizado como parte do CBIE</v>
      </c>
    </row>
    <row r="55">
      <c r="A55" t="str">
        <f>IFERROR(__xludf.DUMMYFUNCTION("""COMPUTED_VALUE"""),"WASHES")</f>
        <v>WASHES</v>
      </c>
      <c r="B55" t="str">
        <f>IFERROR(__xludf.DUMMYFUNCTION("""COMPUTED_VALUE"""),"Workshop sobre Aspectos Sociais, Humanos e Econômicos de Software")</f>
        <v>Workshop sobre Aspectos Sociais, Humanos e Econômicos de Software</v>
      </c>
      <c r="C55" s="60" t="str">
        <f>IFERROR(__xludf.DUMMYFUNCTION("""COMPUTED_VALUE"""),"https://sol.sbc.org.br/index.php/washes")</f>
        <v>https://sol.sbc.org.br/index.php/washes</v>
      </c>
      <c r="D55">
        <f>IFERROR(__xludf.DUMMYFUNCTION("""COMPUTED_VALUE"""),9.0)</f>
        <v>9</v>
      </c>
      <c r="F55" t="str">
        <f>IFERROR(__xludf.DUMMYFUNCTION("""COMPUTED_VALUE"""),"CSBC")</f>
        <v>CSBC</v>
      </c>
      <c r="G55">
        <f>IFERROR(__xludf.DUMMYFUNCTION("""COMPUTED_VALUE"""),2024.0)</f>
        <v>2024</v>
      </c>
      <c r="H55">
        <f>IFERROR(__xludf.DUMMYFUNCTION("""COMPUTED_VALUE"""),5.0)</f>
        <v>5</v>
      </c>
      <c r="I55" s="60" t="str">
        <f>IFERROR(__xludf.DUMMYFUNCTION("""COMPUTED_VALUE"""),"https://scholar.google.com.br/scholar?as_q=&amp;as_epq=&amp;as_oq=&amp;as_eq=&amp;as_occt=any&amp;as_sauthors=&amp;as_publication=Workshop+sobre+Aspectos+Sociais%2C+Humanos+e+Econ%C3%B4micos+de+Software&amp;as_ylo=2019&amp;as_yhi=2023&amp;hl=pt-BR&amp;as_sdt=0%2C5")</f>
        <v>https://scholar.google.com.br/scholar?as_q=&amp;as_epq=&amp;as_oq=&amp;as_eq=&amp;as_occt=any&amp;as_sauthors=&amp;as_publication=Workshop+sobre+Aspectos+Sociais%2C+Humanos+e+Econ%C3%B4micos+de+Software&amp;as_ylo=2019&amp;as_yhi=2023&amp;hl=pt-BR&amp;as_sdt=0%2C5</v>
      </c>
      <c r="J55" t="str">
        <f>IFERROR(__xludf.DUMMYFUNCTION("""COMPUTED_VALUE"""),"Realizado como parte do CSBC")</f>
        <v>Realizado como parte do CSBC</v>
      </c>
    </row>
    <row r="56">
      <c r="A56" t="str">
        <f>IFERROR(__xludf.DUMMYFUNCTION("""COMPUTED_VALUE"""),"WBCI")</f>
        <v>WBCI</v>
      </c>
      <c r="B56" t="str">
        <f>IFERROR(__xludf.DUMMYFUNCTION("""COMPUTED_VALUE"""),"Workshop Brasileiro de Cidades Inteligentes (WBCI)")</f>
        <v>Workshop Brasileiro de Cidades Inteligentes (WBCI)</v>
      </c>
      <c r="C56" s="60" t="str">
        <f>IFERROR(__xludf.DUMMYFUNCTION("""COMPUTED_VALUE"""),"https://sol.sbc.org.br/index.php/wbci/issue/archive")</f>
        <v>https://sol.sbc.org.br/index.php/wbci/issue/archive</v>
      </c>
      <c r="D56">
        <f>IFERROR(__xludf.DUMMYFUNCTION("""COMPUTED_VALUE"""),3.0)</f>
        <v>3</v>
      </c>
      <c r="F56" t="str">
        <f>IFERROR(__xludf.DUMMYFUNCTION("""COMPUTED_VALUE"""),"CSBC")</f>
        <v>CSBC</v>
      </c>
      <c r="G56">
        <f>IFERROR(__xludf.DUMMYFUNCTION("""COMPUTED_VALUE"""),2022.0)</f>
        <v>2022</v>
      </c>
      <c r="H56" t="str">
        <f>IFERROR(__xludf.DUMMYFUNCTION("""COMPUTED_VALUE"""),"---")</f>
        <v>---</v>
      </c>
      <c r="I56" t="str">
        <f>IFERROR(__xludf.DUMMYFUNCTION("""COMPUTED_VALUE"""),"---")</f>
        <v>---</v>
      </c>
      <c r="J56" t="str">
        <f>IFERROR(__xludf.DUMMYFUNCTION("""COMPUTED_VALUE"""),"Realizado como parte do CSBC")</f>
        <v>Realizado como parte do CSBC</v>
      </c>
    </row>
    <row r="57">
      <c r="A57" t="str">
        <f>IFERROR(__xludf.DUMMYFUNCTION("""COMPUTED_VALUE"""),"WBL")</f>
        <v>WBL</v>
      </c>
      <c r="B57" t="str">
        <f>IFERROR(__xludf.DUMMYFUNCTION("""COMPUTED_VALUE"""),"Workshop Brasileiro de Lógica")</f>
        <v>Workshop Brasileiro de Lógica</v>
      </c>
      <c r="C57" s="60" t="str">
        <f>IFERROR(__xludf.DUMMYFUNCTION("""COMPUTED_VALUE"""),"https://sol.sbc.org.br/index.php/wbl")</f>
        <v>https://sol.sbc.org.br/index.php/wbl</v>
      </c>
      <c r="D57">
        <f>IFERROR(__xludf.DUMMYFUNCTION("""COMPUTED_VALUE"""),5.0)</f>
        <v>5</v>
      </c>
      <c r="F57" t="str">
        <f>IFERROR(__xludf.DUMMYFUNCTION("""COMPUTED_VALUE"""),"CSBC")</f>
        <v>CSBC</v>
      </c>
      <c r="G57">
        <f>IFERROR(__xludf.DUMMYFUNCTION("""COMPUTED_VALUE"""),2024.0)</f>
        <v>2024</v>
      </c>
      <c r="H57">
        <f>IFERROR(__xludf.DUMMYFUNCTION("""COMPUTED_VALUE"""),1.0)</f>
        <v>1</v>
      </c>
      <c r="I57" s="60" t="str">
        <f>IFERROR(__xludf.DUMMYFUNCTION("""COMPUTED_VALUE"""),"https://scholar.google.com.br/scholar?as_q=&amp;as_epq=&amp;as_oq=&amp;as_eq=&amp;as_occt=any&amp;as_sauthors=&amp;as_publication=Workshop+Brasileiro+de+L%C3%B3gica&amp;as_ylo=2019&amp;as_yhi=2023&amp;hl=pt-BR&amp;as_sdt=0%2C5")</f>
        <v>https://scholar.google.com.br/scholar?as_q=&amp;as_epq=&amp;as_oq=&amp;as_eq=&amp;as_occt=any&amp;as_sauthors=&amp;as_publication=Workshop+Brasileiro+de+L%C3%B3gica&amp;as_ylo=2019&amp;as_yhi=2023&amp;hl=pt-BR&amp;as_sdt=0%2C5</v>
      </c>
      <c r="J57" t="str">
        <f>IFERROR(__xludf.DUMMYFUNCTION("""COMPUTED_VALUE"""),"Realizado como parte do CSBC")</f>
        <v>Realizado como parte do CSBC</v>
      </c>
    </row>
    <row r="58">
      <c r="A58" t="str">
        <f>IFERROR(__xludf.DUMMYFUNCTION("""COMPUTED_VALUE"""),"WBlockchain")</f>
        <v>WBlockchain</v>
      </c>
      <c r="B58" t="str">
        <f>IFERROR(__xludf.DUMMYFUNCTION("""COMPUTED_VALUE"""),"Workshop em Blockchain: Teoria, Tecnologias e Aplicações (WBlockchain)")</f>
        <v>Workshop em Blockchain: Teoria, Tecnologias e Aplicações (WBlockchain)</v>
      </c>
      <c r="C58" s="60" t="str">
        <f>IFERROR(__xludf.DUMMYFUNCTION("""COMPUTED_VALUE"""),"https://sol.sbc.org.br/index.php/wblockchain/issue/archive")</f>
        <v>https://sol.sbc.org.br/index.php/wblockchain/issue/archive</v>
      </c>
      <c r="D58">
        <f>IFERROR(__xludf.DUMMYFUNCTION("""COMPUTED_VALUE"""),6.0)</f>
        <v>6</v>
      </c>
      <c r="F58" t="str">
        <f>IFERROR(__xludf.DUMMYFUNCTION("""COMPUTED_VALUE"""),"CE-RESD")</f>
        <v>CE-RESD</v>
      </c>
      <c r="G58">
        <f>IFERROR(__xludf.DUMMYFUNCTION("""COMPUTED_VALUE"""),2023.0)</f>
        <v>2023</v>
      </c>
      <c r="H58">
        <f>IFERROR(__xludf.DUMMYFUNCTION("""COMPUTED_VALUE"""),2.0)</f>
        <v>2</v>
      </c>
      <c r="I58" s="60" t="str">
        <f>IFERROR(__xludf.DUMMYFUNCTION("""COMPUTED_VALUE"""),"https://scholar.google.com.br/scholar?as_q=&amp;as_epq=&amp;as_oq=&amp;as_eq=&amp;as_occt=any&amp;as_sauthors=&amp;as_publication=Workshop+em+Blockchain%3A+Teoria%2C+Tecnologias+e+Aplica%C3%A7%C3%B5es&amp;as_ylo=2019&amp;as_yhi=2023&amp;hl=pt-BR&amp;as_sdt=0%2C5")</f>
        <v>https://scholar.google.com.br/scholar?as_q=&amp;as_epq=&amp;as_oq=&amp;as_eq=&amp;as_occt=any&amp;as_sauthors=&amp;as_publication=Workshop+em+Blockchain%3A+Teoria%2C+Tecnologias+e+Aplica%C3%A7%C3%B5es&amp;as_ylo=2019&amp;as_yhi=2023&amp;hl=pt-BR&amp;as_sdt=0%2C5</v>
      </c>
      <c r="J58" t="str">
        <f>IFERROR(__xludf.DUMMYFUNCTION("""COMPUTED_VALUE"""),"Realizado como parte do SBRC")</f>
        <v>Realizado como parte do SBRC</v>
      </c>
    </row>
    <row r="59">
      <c r="A59" t="str">
        <f>IFERROR(__xludf.DUMMYFUNCTION("""COMPUTED_VALUE"""),"WCAMA")</f>
        <v>WCAMA</v>
      </c>
      <c r="B59" t="str">
        <f>IFERROR(__xludf.DUMMYFUNCTION("""COMPUTED_VALUE"""),"Workshop de Computação Aplicada à Gestão do Meio Ambiente e Recursos Naturais")</f>
        <v>Workshop de Computação Aplicada à Gestão do Meio Ambiente e Recursos Naturais</v>
      </c>
      <c r="C59" s="60" t="str">
        <f>IFERROR(__xludf.DUMMYFUNCTION("""COMPUTED_VALUE"""),"https://sol.sbc.org.br/index.php/wcama")</f>
        <v>https://sol.sbc.org.br/index.php/wcama</v>
      </c>
      <c r="D59">
        <f>IFERROR(__xludf.DUMMYFUNCTION("""COMPUTED_VALUE"""),15.0)</f>
        <v>15</v>
      </c>
      <c r="F59" t="str">
        <f>IFERROR(__xludf.DUMMYFUNCTION("""COMPUTED_VALUE"""),"CSBC")</f>
        <v>CSBC</v>
      </c>
      <c r="G59">
        <f>IFERROR(__xludf.DUMMYFUNCTION("""COMPUTED_VALUE"""),2024.0)</f>
        <v>2024</v>
      </c>
      <c r="H59">
        <f>IFERROR(__xludf.DUMMYFUNCTION("""COMPUTED_VALUE"""),4.0)</f>
        <v>4</v>
      </c>
      <c r="I59" s="60" t="str">
        <f>IFERROR(__xludf.DUMMYFUNCTION("""COMPUTED_VALUE"""),"https://scholar.google.com.br/scholar?as_q=&amp;as_epq=&amp;as_oq=&amp;as_eq=&amp;as_occt=any&amp;as_sauthors=&amp;as_publication=Workshop+de+Computa%C3%A7%C3%A3o+Aplicada+%C3%A0+Gest%C3%A3o+do+Meio+Ambiente+e+Recursos+Naturais&amp;as_ylo=2019&amp;as_yhi=2023&amp;hl=pt-BR&amp;as_sdt=0%2C5")</f>
        <v>https://scholar.google.com.br/scholar?as_q=&amp;as_epq=&amp;as_oq=&amp;as_eq=&amp;as_occt=any&amp;as_sauthors=&amp;as_publication=Workshop+de+Computa%C3%A7%C3%A3o+Aplicada+%C3%A0+Gest%C3%A3o+do+Meio+Ambiente+e+Recursos+Naturais&amp;as_ylo=2019&amp;as_yhi=2023&amp;hl=pt-BR&amp;as_sdt=0%2C5</v>
      </c>
      <c r="J59" t="str">
        <f>IFERROR(__xludf.DUMMYFUNCTION("""COMPUTED_VALUE"""),"Realizado como parte do CSBC")</f>
        <v>Realizado como parte do CSBC</v>
      </c>
    </row>
    <row r="60">
      <c r="A60" t="str">
        <f>IFERROR(__xludf.DUMMYFUNCTION("""COMPUTED_VALUE"""),"WCGA")</f>
        <v>WCGA</v>
      </c>
      <c r="B60" t="str">
        <f>IFERROR(__xludf.DUMMYFUNCTION("""COMPUTED_VALUE"""),"Workshop em Clouds e Aplicações (WCGA)")</f>
        <v>Workshop em Clouds e Aplicações (WCGA)</v>
      </c>
      <c r="C60" s="60" t="str">
        <f>IFERROR(__xludf.DUMMYFUNCTION("""COMPUTED_VALUE"""),"https://sol.sbc.org.br/index.php/wcga/issue/archive")</f>
        <v>https://sol.sbc.org.br/index.php/wcga/issue/archive</v>
      </c>
      <c r="D60">
        <f>IFERROR(__xludf.DUMMYFUNCTION("""COMPUTED_VALUE"""),19.0)</f>
        <v>19</v>
      </c>
      <c r="F60" t="str">
        <f>IFERROR(__xludf.DUMMYFUNCTION("""COMPUTED_VALUE"""),"CE-RESD")</f>
        <v>CE-RESD</v>
      </c>
      <c r="G60">
        <f>IFERROR(__xludf.DUMMYFUNCTION("""COMPUTED_VALUE"""),2021.0)</f>
        <v>2021</v>
      </c>
      <c r="H60">
        <f>IFERROR(__xludf.DUMMYFUNCTION("""COMPUTED_VALUE"""),2.0)</f>
        <v>2</v>
      </c>
      <c r="I60" s="60" t="str">
        <f>IFERROR(__xludf.DUMMYFUNCTION("""COMPUTED_VALUE"""),"https://scholar.google.com.br/scholar?as_q=&amp;as_epq=&amp;as_oq=&amp;as_eq=&amp;as_occt=any&amp;as_sauthors=&amp;as_publication=Workshop+em+Clouds+e+Aplica%C3%A7%C3%B5es&amp;as_ylo=2019&amp;as_yhi=2023&amp;hl=pt-BR&amp;as_sdt=0%2C5")</f>
        <v>https://scholar.google.com.br/scholar?as_q=&amp;as_epq=&amp;as_oq=&amp;as_eq=&amp;as_occt=any&amp;as_sauthors=&amp;as_publication=Workshop+em+Clouds+e+Aplica%C3%A7%C3%B5es&amp;as_ylo=2019&amp;as_yhi=2023&amp;hl=pt-BR&amp;as_sdt=0%2C5</v>
      </c>
      <c r="J60" t="str">
        <f>IFERROR(__xludf.DUMMYFUNCTION("""COMPUTED_VALUE"""),"Realizado como parte do SBRC")</f>
        <v>Realizado como parte do SBRC</v>
      </c>
    </row>
    <row r="61">
      <c r="A61" t="str">
        <f>IFERROR(__xludf.DUMMYFUNCTION("""COMPUTED_VALUE"""),"WCGE")</f>
        <v>WCGE</v>
      </c>
      <c r="B61" t="str">
        <f>IFERROR(__xludf.DUMMYFUNCTION("""COMPUTED_VALUE"""),"Workshop de Computação Aplicada em Governo Eletrônico")</f>
        <v>Workshop de Computação Aplicada em Governo Eletrônico</v>
      </c>
      <c r="C61" s="60" t="str">
        <f>IFERROR(__xludf.DUMMYFUNCTION("""COMPUTED_VALUE"""),"https://sol.sbc.org.br/index.php/wcge")</f>
        <v>https://sol.sbc.org.br/index.php/wcge</v>
      </c>
      <c r="D61">
        <f>IFERROR(__xludf.DUMMYFUNCTION("""COMPUTED_VALUE"""),12.0)</f>
        <v>12</v>
      </c>
      <c r="F61" t="str">
        <f>IFERROR(__xludf.DUMMYFUNCTION("""COMPUTED_VALUE"""),"CSBC")</f>
        <v>CSBC</v>
      </c>
      <c r="G61">
        <f>IFERROR(__xludf.DUMMYFUNCTION("""COMPUTED_VALUE"""),2024.0)</f>
        <v>2024</v>
      </c>
      <c r="H61">
        <f>IFERROR(__xludf.DUMMYFUNCTION("""COMPUTED_VALUE"""),7.0)</f>
        <v>7</v>
      </c>
      <c r="I61" s="60" t="str">
        <f>IFERROR(__xludf.DUMMYFUNCTION("""COMPUTED_VALUE"""),"https://scholar.google.com.br/scholar?as_q=&amp;as_epq=&amp;as_oq=&amp;as_eq=&amp;as_occt=any&amp;as_sauthors=&amp;as_publication=Workshop+de+Computa%C3%A7%C3%A3o+Aplicada+em+Governo+Eletr%C3%B4nico&amp;as_ylo=&amp;as_yhi=&amp;hl=pt-BR&amp;as_sdt=0%2C5")</f>
        <v>https://scholar.google.com.br/scholar?as_q=&amp;as_epq=&amp;as_oq=&amp;as_eq=&amp;as_occt=any&amp;as_sauthors=&amp;as_publication=Workshop+de+Computa%C3%A7%C3%A3o+Aplicada+em+Governo+Eletr%C3%B4nico&amp;as_ylo=&amp;as_yhi=&amp;hl=pt-BR&amp;as_sdt=0%2C5</v>
      </c>
      <c r="J61" t="str">
        <f>IFERROR(__xludf.DUMMYFUNCTION("""COMPUTED_VALUE"""),"Realizado como parte do CSBC")</f>
        <v>Realizado como parte do CSBC</v>
      </c>
    </row>
    <row r="62">
      <c r="A62" t="str">
        <f>IFERROR(__xludf.DUMMYFUNCTION("""COMPUTED_VALUE"""),"WEADEH")</f>
        <v>WEADEH</v>
      </c>
      <c r="B62" t="str">
        <f>IFERROR(__xludf.DUMMYFUNCTION("""COMPUTED_VALUE"""),"Workshop de Educação a Distância e Ensino Híbrido (WEADEH)")</f>
        <v>Workshop de Educação a Distância e Ensino Híbrido (WEADEH)</v>
      </c>
      <c r="C62" s="60" t="str">
        <f>IFERROR(__xludf.DUMMYFUNCTION("""COMPUTED_VALUE"""),"https://sol.sbc.org.br/index.php/weadeh")</f>
        <v>https://sol.sbc.org.br/index.php/weadeh</v>
      </c>
      <c r="D62">
        <f>IFERROR(__xludf.DUMMYFUNCTION("""COMPUTED_VALUE"""),1.0)</f>
        <v>1</v>
      </c>
      <c r="G62">
        <f>IFERROR(__xludf.DUMMYFUNCTION("""COMPUTED_VALUE"""),2023.0)</f>
        <v>2023</v>
      </c>
      <c r="H62" t="str">
        <f>IFERROR(__xludf.DUMMYFUNCTION("""COMPUTED_VALUE"""),"---")</f>
        <v>---</v>
      </c>
      <c r="I62" t="str">
        <f>IFERROR(__xludf.DUMMYFUNCTION("""COMPUTED_VALUE"""),"---")</f>
        <v>---</v>
      </c>
      <c r="J62" t="str">
        <f>IFERROR(__xludf.DUMMYFUNCTION("""COMPUTED_VALUE"""),"Realizado como parte do CBIE")</f>
        <v>Realizado como parte do CBIE</v>
      </c>
    </row>
    <row r="63">
      <c r="A63" t="str">
        <f>IFERROR(__xludf.DUMMYFUNCTION("""COMPUTED_VALUE"""),"WEBMEDIA")</f>
        <v>WEBMEDIA</v>
      </c>
      <c r="B63" t="str">
        <f>IFERROR(__xludf.DUMMYFUNCTION("""COMPUTED_VALUE"""),"Simpósio Brasileiro de Sistemas Multimídia e Web")</f>
        <v>Simpósio Brasileiro de Sistemas Multimídia e Web</v>
      </c>
      <c r="C63" s="60" t="str">
        <f>IFERROR(__xludf.DUMMYFUNCTION("""COMPUTED_VALUE"""),"https://sol.sbc.org.br/index.php/webmedia")</f>
        <v>https://sol.sbc.org.br/index.php/webmedia</v>
      </c>
      <c r="D63">
        <f>IFERROR(__xludf.DUMMYFUNCTION("""COMPUTED_VALUE"""),29.0)</f>
        <v>29</v>
      </c>
      <c r="F63" t="str">
        <f>IFERROR(__xludf.DUMMYFUNCTION("""COMPUTED_VALUE"""),"CE-WEBMEDIA")</f>
        <v>CE-WEBMEDIA</v>
      </c>
      <c r="G63">
        <f>IFERROR(__xludf.DUMMYFUNCTION("""COMPUTED_VALUE"""),2023.0)</f>
        <v>2023</v>
      </c>
      <c r="H63">
        <f>IFERROR(__xludf.DUMMYFUNCTION("""COMPUTED_VALUE"""),13.0)</f>
        <v>13</v>
      </c>
      <c r="I63" s="60" t="str">
        <f>IFERROR(__xludf.DUMMYFUNCTION("""COMPUTED_VALUE"""),"https://scholar.google.com/citations?hl=en&amp;view_op=list_hcore&amp;venue=EL-07Zfxn_kJ.2024")</f>
        <v>https://scholar.google.com/citations?hl=en&amp;view_op=list_hcore&amp;venue=EL-07Zfxn_kJ.2024</v>
      </c>
      <c r="J63" t="str">
        <f>IFERROR(__xludf.DUMMYFUNCTION("""COMPUTED_VALUE"""),"Publicado na ACM")</f>
        <v>Publicado na ACM</v>
      </c>
    </row>
    <row r="64">
      <c r="A64" t="str">
        <f>IFERROR(__xludf.DUMMYFUNCTION("""COMPUTED_VALUE"""),"WEI")</f>
        <v>WEI</v>
      </c>
      <c r="B64" t="str">
        <f>IFERROR(__xludf.DUMMYFUNCTION("""COMPUTED_VALUE"""),"Workshop sobre Educação em Computação")</f>
        <v>Workshop sobre Educação em Computação</v>
      </c>
      <c r="C64" s="60" t="str">
        <f>IFERROR(__xludf.DUMMYFUNCTION("""COMPUTED_VALUE"""),"https://sol.sbc.org.br/index.php/wei")</f>
        <v>https://sol.sbc.org.br/index.php/wei</v>
      </c>
      <c r="D64">
        <f>IFERROR(__xludf.DUMMYFUNCTION("""COMPUTED_VALUE"""),32.0)</f>
        <v>32</v>
      </c>
      <c r="F64" t="str">
        <f>IFERROR(__xludf.DUMMYFUNCTION("""COMPUTED_VALUE"""),"CSBC")</f>
        <v>CSBC</v>
      </c>
      <c r="G64">
        <f>IFERROR(__xludf.DUMMYFUNCTION("""COMPUTED_VALUE"""),2024.0)</f>
        <v>2024</v>
      </c>
      <c r="H64">
        <f>IFERROR(__xludf.DUMMYFUNCTION("""COMPUTED_VALUE"""),11.0)</f>
        <v>11</v>
      </c>
      <c r="I64" s="60" t="str">
        <f>IFERROR(__xludf.DUMMYFUNCTION("""COMPUTED_VALUE"""),"https://scholar.google.com.br/citations?hl=pt-BR&amp;view_op=list_hcore&amp;venue=-eLSF6KffKgJ.2024")</f>
        <v>https://scholar.google.com.br/citations?hl=pt-BR&amp;view_op=list_hcore&amp;venue=-eLSF6KffKgJ.2024</v>
      </c>
      <c r="J64" t="str">
        <f>IFERROR(__xludf.DUMMYFUNCTION("""COMPUTED_VALUE"""),"Realizado como parte do CSBC")</f>
        <v>Realizado como parte do CSBC</v>
      </c>
    </row>
    <row r="65">
      <c r="A65" t="str">
        <f>IFERROR(__xludf.DUMMYFUNCTION("""COMPUTED_VALUE"""),"WEIHC")</f>
        <v>WEIHC</v>
      </c>
      <c r="B65" t="str">
        <f>IFERROR(__xludf.DUMMYFUNCTION("""COMPUTED_VALUE"""),"Workshop sobre Educação em IHC (WEIHC)")</f>
        <v>Workshop sobre Educação em IHC (WEIHC)</v>
      </c>
      <c r="C65" s="60" t="str">
        <f>IFERROR(__xludf.DUMMYFUNCTION("""COMPUTED_VALUE"""),"https://sol.sbc.org.br/index.php/weihc/issue/archive")</f>
        <v>https://sol.sbc.org.br/index.php/weihc/issue/archive</v>
      </c>
      <c r="D65">
        <f>IFERROR(__xludf.DUMMYFUNCTION("""COMPUTED_VALUE"""),13.0)</f>
        <v>13</v>
      </c>
      <c r="E65">
        <f>IFERROR(__xludf.DUMMYFUNCTION("""COMPUTED_VALUE"""),2010.0)</f>
        <v>2010</v>
      </c>
      <c r="F65" t="str">
        <f>IFERROR(__xludf.DUMMYFUNCTION("""COMPUTED_VALUE"""),"CE-IHC")</f>
        <v>CE-IHC</v>
      </c>
      <c r="G65">
        <f>IFERROR(__xludf.DUMMYFUNCTION("""COMPUTED_VALUE"""),2023.0)</f>
        <v>2023</v>
      </c>
      <c r="H65" t="str">
        <f>IFERROR(__xludf.DUMMYFUNCTION("""COMPUTED_VALUE"""),"---")</f>
        <v>---</v>
      </c>
      <c r="I65" t="str">
        <f>IFERROR(__xludf.DUMMYFUNCTION("""COMPUTED_VALUE"""),"---")</f>
        <v>---</v>
      </c>
      <c r="J65" t="str">
        <f>IFERROR(__xludf.DUMMYFUNCTION("""COMPUTED_VALUE"""),"Realizado como parte do IHC/Apenas 1 edição dos anais está online (2022) de forma independente. As demais estão em conjunto com os anais estendidos do IHC ")</f>
        <v>Realizado como parte do IHC/Apenas 1 edição dos anais está online (2022) de forma independente. As demais estão em conjunto com os anais estendidos do IHC </v>
      </c>
    </row>
    <row r="66">
      <c r="A66" t="str">
        <f>IFERROR(__xludf.DUMMYFUNCTION("""COMPUTED_VALUE"""),"WETIE")</f>
        <v>WETIE</v>
      </c>
      <c r="B66" t="str">
        <f>IFERROR(__xludf.DUMMYFUNCTION("""COMPUTED_VALUE"""),"Workshop em Estratégias Transformadoras e Inovação na Educação (WETIE)")</f>
        <v>Workshop em Estratégias Transformadoras e Inovação na Educação (WETIE)</v>
      </c>
      <c r="C66" s="60" t="str">
        <f>IFERROR(__xludf.DUMMYFUNCTION("""COMPUTED_VALUE"""),"https://sol.sbc.org.br/index.php/wetie")</f>
        <v>https://sol.sbc.org.br/index.php/wetie</v>
      </c>
      <c r="D66">
        <f>IFERROR(__xludf.DUMMYFUNCTION("""COMPUTED_VALUE"""),1.0)</f>
        <v>1</v>
      </c>
      <c r="G66">
        <f>IFERROR(__xludf.DUMMYFUNCTION("""COMPUTED_VALUE"""),2023.0)</f>
        <v>2023</v>
      </c>
      <c r="H66" t="str">
        <f>IFERROR(__xludf.DUMMYFUNCTION("""COMPUTED_VALUE"""),"---")</f>
        <v>---</v>
      </c>
      <c r="I66" t="str">
        <f>IFERROR(__xludf.DUMMYFUNCTION("""COMPUTED_VALUE"""),"---")</f>
        <v>---</v>
      </c>
      <c r="J66" t="str">
        <f>IFERROR(__xludf.DUMMYFUNCTION("""COMPUTED_VALUE"""),"Realizado como parte do CBIE")</f>
        <v>Realizado como parte do CBIE</v>
      </c>
    </row>
    <row r="67">
      <c r="A67" t="str">
        <f>IFERROR(__xludf.DUMMYFUNCTION("""COMPUTED_VALUE"""),"WFC")</f>
        <v>WFC</v>
      </c>
      <c r="B67" t="str">
        <f>IFERROR(__xludf.DUMMYFUNCTION("""COMPUTED_VALUE"""),"Workshop de Forense Computacional")</f>
        <v>Workshop de Forense Computacional</v>
      </c>
      <c r="C67" s="60" t="str">
        <f>IFERROR(__xludf.DUMMYFUNCTION("""COMPUTED_VALUE"""),"https://sol.sbc.org.br/index.php/wfc/issue/archive")</f>
        <v>https://sol.sbc.org.br/index.php/wfc/issue/archive</v>
      </c>
      <c r="D67">
        <f>IFERROR(__xludf.DUMMYFUNCTION("""COMPUTED_VALUE"""),8.0)</f>
        <v>8</v>
      </c>
      <c r="G67">
        <f>IFERROR(__xludf.DUMMYFUNCTION("""COMPUTED_VALUE"""),2019.0)</f>
        <v>2019</v>
      </c>
      <c r="H67" t="str">
        <f>IFERROR(__xludf.DUMMYFUNCTION("""COMPUTED_VALUE"""),"---")</f>
        <v>---</v>
      </c>
      <c r="I67" t="str">
        <f>IFERROR(__xludf.DUMMYFUNCTION("""COMPUTED_VALUE"""),"---")</f>
        <v>---</v>
      </c>
      <c r="J67" t="str">
        <f>IFERROR(__xludf.DUMMYFUNCTION("""COMPUTED_VALUE"""),"Realizado como parte do SBSeg")</f>
        <v>Realizado como parte do SBSeg</v>
      </c>
    </row>
    <row r="68">
      <c r="A68" t="str">
        <f>IFERROR(__xludf.DUMMYFUNCTION("""COMPUTED_VALUE"""),"WFIBRE")</f>
        <v>WFIBRE</v>
      </c>
      <c r="B68" t="str">
        <f>IFERROR(__xludf.DUMMYFUNCTION("""COMPUTED_VALUE"""),"Workshop do Testbed FIBRE (WFIBRE)")</f>
        <v>Workshop do Testbed FIBRE (WFIBRE)</v>
      </c>
      <c r="C68" s="60" t="str">
        <f>IFERROR(__xludf.DUMMYFUNCTION("""COMPUTED_VALUE"""),"https://sol.sbc.org.br/index.php/wfibre/issue/archive")</f>
        <v>https://sol.sbc.org.br/index.php/wfibre/issue/archive</v>
      </c>
      <c r="D68">
        <f>IFERROR(__xludf.DUMMYFUNCTION("""COMPUTED_VALUE"""),6.0)</f>
        <v>6</v>
      </c>
      <c r="F68" t="str">
        <f>IFERROR(__xludf.DUMMYFUNCTION("""COMPUTED_VALUE"""),"CSBC")</f>
        <v>CSBC</v>
      </c>
      <c r="G68">
        <f>IFERROR(__xludf.DUMMYFUNCTION("""COMPUTED_VALUE"""),2021.0)</f>
        <v>2021</v>
      </c>
      <c r="H68" t="str">
        <f>IFERROR(__xludf.DUMMYFUNCTION("""COMPUTED_VALUE"""),"---")</f>
        <v>---</v>
      </c>
      <c r="I68" t="str">
        <f>IFERROR(__xludf.DUMMYFUNCTION("""COMPUTED_VALUE"""),"---")</f>
        <v>---</v>
      </c>
      <c r="J68" t="str">
        <f>IFERROR(__xludf.DUMMYFUNCTION("""COMPUTED_VALUE"""),"Realizado como parte do CSBC")</f>
        <v>Realizado como parte do CSBC</v>
      </c>
    </row>
    <row r="69">
      <c r="A69" t="str">
        <f>IFERROR(__xludf.DUMMYFUNCTION("""COMPUTED_VALUE"""),"WGID")</f>
        <v>WGID</v>
      </c>
      <c r="B69" t="str">
        <f>IFERROR(__xludf.DUMMYFUNCTION("""COMPUTED_VALUE"""),"Workshop de Gestão de Identidades Digitais")</f>
        <v>Workshop de Gestão de Identidades Digitais</v>
      </c>
      <c r="C69" s="60" t="str">
        <f>IFERROR(__xludf.DUMMYFUNCTION("""COMPUTED_VALUE"""),"https://sol.sbc.org.br/index.php/wgid/issue/archive")</f>
        <v>https://sol.sbc.org.br/index.php/wgid/issue/archive</v>
      </c>
      <c r="D69">
        <f>IFERROR(__xludf.DUMMYFUNCTION("""COMPUTED_VALUE"""),9.0)</f>
        <v>9</v>
      </c>
      <c r="G69">
        <f>IFERROR(__xludf.DUMMYFUNCTION("""COMPUTED_VALUE"""),2019.0)</f>
        <v>2019</v>
      </c>
      <c r="H69" t="str">
        <f>IFERROR(__xludf.DUMMYFUNCTION("""COMPUTED_VALUE"""),"---")</f>
        <v>---</v>
      </c>
      <c r="I69" t="str">
        <f>IFERROR(__xludf.DUMMYFUNCTION("""COMPUTED_VALUE"""),"---")</f>
        <v>---</v>
      </c>
      <c r="J69" t="str">
        <f>IFERROR(__xludf.DUMMYFUNCTION("""COMPUTED_VALUE"""),"Realizado como parte do SBSeg")</f>
        <v>Realizado como parte do SBSeg</v>
      </c>
    </row>
    <row r="70">
      <c r="A70" t="str">
        <f>IFERROR(__xludf.DUMMYFUNCTION("""COMPUTED_VALUE"""),"WGRS")</f>
        <v>WGRS</v>
      </c>
      <c r="B70" t="str">
        <f>IFERROR(__xludf.DUMMYFUNCTION("""COMPUTED_VALUE"""),"Workshop de Gerência e Operação de Redes e Serviços (WGRS)")</f>
        <v>Workshop de Gerência e Operação de Redes e Serviços (WGRS)</v>
      </c>
      <c r="C70" s="60" t="str">
        <f>IFERROR(__xludf.DUMMYFUNCTION("""COMPUTED_VALUE"""),"https://sol.sbc.org.br/index.php/wgrs/issue/archive")</f>
        <v>https://sol.sbc.org.br/index.php/wgrs/issue/archive</v>
      </c>
      <c r="D70">
        <f>IFERROR(__xludf.DUMMYFUNCTION("""COMPUTED_VALUE"""),28.0)</f>
        <v>28</v>
      </c>
      <c r="F70" t="str">
        <f>IFERROR(__xludf.DUMMYFUNCTION("""COMPUTED_VALUE"""),"CE-RESD")</f>
        <v>CE-RESD</v>
      </c>
      <c r="G70">
        <f>IFERROR(__xludf.DUMMYFUNCTION("""COMPUTED_VALUE"""),2023.0)</f>
        <v>2023</v>
      </c>
      <c r="H70">
        <f>IFERROR(__xludf.DUMMYFUNCTION("""COMPUTED_VALUE"""),3.0)</f>
        <v>3</v>
      </c>
      <c r="I70" s="60" t="str">
        <f>IFERROR(__xludf.DUMMYFUNCTION("""COMPUTED_VALUE"""),"https://scholar.google.com/scholar?as_q=&amp;as_epq=&amp;as_oq=&amp;as_eq=&amp;as_occt=any&amp;as_sauthors=&amp;as_publication=Workshop+de+Ger%C3%AAncia+e+Opera%C3%A7%C3%A3o+de+Redes+e+Servi%C3%A7os&amp;as_ylo=2019&amp;as_yhi=2023&amp;hl=pt-BR&amp;as_sdt=0%2C5")</f>
        <v>https://scholar.google.com/scholar?as_q=&amp;as_epq=&amp;as_oq=&amp;as_eq=&amp;as_occt=any&amp;as_sauthors=&amp;as_publication=Workshop+de+Ger%C3%AAncia+e+Opera%C3%A7%C3%A3o+de+Redes+e+Servi%C3%A7os&amp;as_ylo=2019&amp;as_yhi=2023&amp;hl=pt-BR&amp;as_sdt=0%2C5</v>
      </c>
      <c r="J70" t="str">
        <f>IFERROR(__xludf.DUMMYFUNCTION("""COMPUTED_VALUE"""),"Realizado como parte do SBRC")</f>
        <v>Realizado como parte do SBRC</v>
      </c>
    </row>
    <row r="71">
      <c r="A71" t="str">
        <f>IFERROR(__xludf.DUMMYFUNCTION("""COMPUTED_VALUE"""),"WICS")</f>
        <v>WICS</v>
      </c>
      <c r="B71" t="str">
        <f>IFERROR(__xludf.DUMMYFUNCTION("""COMPUTED_VALUE"""),"Workshop sobre as Implicações da Computação na Sociedade")</f>
        <v>Workshop sobre as Implicações da Computação na Sociedade</v>
      </c>
      <c r="C71" s="60" t="str">
        <f>IFERROR(__xludf.DUMMYFUNCTION("""COMPUTED_VALUE"""),"https://sol.sbc.org.br/index.php/wics")</f>
        <v>https://sol.sbc.org.br/index.php/wics</v>
      </c>
      <c r="D71">
        <f>IFERROR(__xludf.DUMMYFUNCTION("""COMPUTED_VALUE"""),5.0)</f>
        <v>5</v>
      </c>
      <c r="F71" t="str">
        <f>IFERROR(__xludf.DUMMYFUNCTION("""COMPUTED_VALUE"""),"CSBC")</f>
        <v>CSBC</v>
      </c>
      <c r="G71">
        <f>IFERROR(__xludf.DUMMYFUNCTION("""COMPUTED_VALUE"""),2024.0)</f>
        <v>2024</v>
      </c>
      <c r="H71">
        <f>IFERROR(__xludf.DUMMYFUNCTION("""COMPUTED_VALUE"""),6.0)</f>
        <v>6</v>
      </c>
      <c r="I71" s="60" t="str">
        <f>IFERROR(__xludf.DUMMYFUNCTION("""COMPUTED_VALUE"""),"https://scholar.google.com.br/scholar?as_q=&amp;as_epq=&amp;as_oq=&amp;as_eq=&amp;as_occt=any&amp;as_sauthors=&amp;as_publication=Workshop+sobre+as+Implica%C3%A7%C3%B5es+da+Computa%C3%A7%C3%A3o+na+Sociedade&amp;as_ylo=&amp;as_yhi=&amp;hl=pt-BR&amp;as_sdt=0%2C5")</f>
        <v>https://scholar.google.com.br/scholar?as_q=&amp;as_epq=&amp;as_oq=&amp;as_eq=&amp;as_occt=any&amp;as_sauthors=&amp;as_publication=Workshop+sobre+as+Implica%C3%A7%C3%B5es+da+Computa%C3%A7%C3%A3o+na+Sociedade&amp;as_ylo=&amp;as_yhi=&amp;hl=pt-BR&amp;as_sdt=0%2C5</v>
      </c>
      <c r="J71" t="str">
        <f>IFERROR(__xludf.DUMMYFUNCTION("""COMPUTED_VALUE"""),"Realizado como parte do CSBC")</f>
        <v>Realizado como parte do CSBC</v>
      </c>
    </row>
    <row r="72">
      <c r="A72" t="str">
        <f>IFERROR(__xludf.DUMMYFUNCTION("""COMPUTED_VALUE"""),"WIDE")</f>
        <v>WIDE</v>
      </c>
      <c r="B72" t="str">
        <f>IFERROR(__xludf.DUMMYFUNCTION("""COMPUTED_VALUE"""),"Workshop Investigações em Interação Humano-Dados (WIDE)")</f>
        <v>Workshop Investigações em Interação Humano-Dados (WIDE)</v>
      </c>
      <c r="C72" s="60" t="str">
        <f>IFERROR(__xludf.DUMMYFUNCTION("""COMPUTED_VALUE"""),"https://sol.sbc.org.br/index.php/wide/issue/archive")</f>
        <v>https://sol.sbc.org.br/index.php/wide/issue/archive</v>
      </c>
      <c r="D72">
        <f>IFERROR(__xludf.DUMMYFUNCTION("""COMPUTED_VALUE"""),2.0)</f>
        <v>2</v>
      </c>
      <c r="E72">
        <f>IFERROR(__xludf.DUMMYFUNCTION("""COMPUTED_VALUE"""),2022.0)</f>
        <v>2022</v>
      </c>
      <c r="F72" t="str">
        <f>IFERROR(__xludf.DUMMYFUNCTION("""COMPUTED_VALUE"""),"CE-IHC")</f>
        <v>CE-IHC</v>
      </c>
      <c r="G72">
        <f>IFERROR(__xludf.DUMMYFUNCTION("""COMPUTED_VALUE"""),2023.0)</f>
        <v>2023</v>
      </c>
      <c r="I72" s="60" t="str">
        <f>IFERROR(__xludf.DUMMYFUNCTION("""COMPUTED_VALUE"""),"https://scholar.google.com.br/scholar?as_q=&amp;as_epq=&amp;as_oq=&amp;as_eq=&amp;as_occt=any&amp;as_sauthors=&amp;as_publication=Workshop+Investiga%C3%A7%C3%B5es+em+Intera%C3%A7%C3%A3o+Humano-Dados&amp;as_ylo=2019&amp;as_yhi=2023&amp;hl=pt-BR&amp;as_sdt=0%2C5")</f>
        <v>https://scholar.google.com.br/scholar?as_q=&amp;as_epq=&amp;as_oq=&amp;as_eq=&amp;as_occt=any&amp;as_sauthors=&amp;as_publication=Workshop+Investiga%C3%A7%C3%B5es+em+Intera%C3%A7%C3%A3o+Humano-Dados&amp;as_ylo=2019&amp;as_yhi=2023&amp;hl=pt-BR&amp;as_sdt=0%2C5</v>
      </c>
      <c r="J72" t="str">
        <f>IFERROR(__xludf.DUMMYFUNCTION("""COMPUTED_VALUE"""),"Realizado como parte do IHC.")</f>
        <v>Realizado como parte do IHC.</v>
      </c>
    </row>
    <row r="73">
      <c r="A73" t="str">
        <f>IFERROR(__xludf.DUMMYFUNCTION("""COMPUTED_VALUE"""),"WIE")</f>
        <v>WIE</v>
      </c>
      <c r="B73" t="str">
        <f>IFERROR(__xludf.DUMMYFUNCTION("""COMPUTED_VALUE"""),"Workshop de Informática na Escola")</f>
        <v>Workshop de Informática na Escola</v>
      </c>
      <c r="C73" s="60" t="str">
        <f>IFERROR(__xludf.DUMMYFUNCTION("""COMPUTED_VALUE"""),"https://sol.sbc.org.br/index.php/wie")</f>
        <v>https://sol.sbc.org.br/index.php/wie</v>
      </c>
      <c r="D73">
        <f>IFERROR(__xludf.DUMMYFUNCTION("""COMPUTED_VALUE"""),28.0)</f>
        <v>28</v>
      </c>
      <c r="G73">
        <f>IFERROR(__xludf.DUMMYFUNCTION("""COMPUTED_VALUE"""),2022.0)</f>
        <v>2022</v>
      </c>
      <c r="H73">
        <f>IFERROR(__xludf.DUMMYFUNCTION("""COMPUTED_VALUE"""),10.0)</f>
        <v>10</v>
      </c>
      <c r="I73" s="60" t="str">
        <f>IFERROR(__xludf.DUMMYFUNCTION("""COMPUTED_VALUE"""),"https://scholar.google.com.br/citations?hl=pt-BR&amp;view_op=list_hcore&amp;venue=oRft04FzXroJ.2024")</f>
        <v>https://scholar.google.com.br/citations?hl=pt-BR&amp;view_op=list_hcore&amp;venue=oRft04FzXroJ.2024</v>
      </c>
      <c r="J73" t="str">
        <f>IFERROR(__xludf.DUMMYFUNCTION("""COMPUTED_VALUE"""),"Realizado como parte do CBIE")</f>
        <v>Realizado como parte do CBIE</v>
      </c>
    </row>
    <row r="74">
      <c r="A74" t="str">
        <f>IFERROR(__xludf.DUMMYFUNCTION("""COMPUTED_VALUE"""),"WIPlay")</f>
        <v>WIPlay</v>
      </c>
      <c r="B74" t="str">
        <f>IFERROR(__xludf.DUMMYFUNCTION("""COMPUTED_VALUE"""),"Workshop sobre Interação e Pesquisa de Usuários no Desenvolvimento de Jogos (WIPlay)")</f>
        <v>Workshop sobre Interação e Pesquisa de Usuários no Desenvolvimento de Jogos (WIPlay)</v>
      </c>
      <c r="C74" s="60" t="str">
        <f>IFERROR(__xludf.DUMMYFUNCTION("""COMPUTED_VALUE"""),"https://sol.sbc.org.br/index.php/wiplay/issue/archive")</f>
        <v>https://sol.sbc.org.br/index.php/wiplay/issue/archive</v>
      </c>
      <c r="D74">
        <f>IFERROR(__xludf.DUMMYFUNCTION("""COMPUTED_VALUE"""),2.0)</f>
        <v>2</v>
      </c>
      <c r="E74">
        <f>IFERROR(__xludf.DUMMYFUNCTION("""COMPUTED_VALUE"""),2019.0)</f>
        <v>2019</v>
      </c>
      <c r="F74" t="str">
        <f>IFERROR(__xludf.DUMMYFUNCTION("""COMPUTED_VALUE"""),"CE-IHC")</f>
        <v>CE-IHC</v>
      </c>
      <c r="G74">
        <f>IFERROR(__xludf.DUMMYFUNCTION("""COMPUTED_VALUE"""),2023.0)</f>
        <v>2023</v>
      </c>
      <c r="H74">
        <f>IFERROR(__xludf.DUMMYFUNCTION("""COMPUTED_VALUE"""),3.0)</f>
        <v>3</v>
      </c>
      <c r="I74" s="60" t="str">
        <f>IFERROR(__xludf.DUMMYFUNCTION("""COMPUTED_VALUE"""),"https://scholar.google.com.br/scholar?as_q=&amp;as_epq=&amp;as_oq=&amp;as_eq=&amp;as_occt=any&amp;as_sauthors=&amp;as_publication=Workshop+sobre+Intera%C3%A7%C3%A3o+e+Pesquisa+de+Usu%C3%A1rios+no+Desenvolvimento+de+Jogos&amp;as_ylo=2019&amp;as_yhi=2023&amp;hl=pt-BR&amp;as_sdt=0%2C5")</f>
        <v>https://scholar.google.com.br/scholar?as_q=&amp;as_epq=&amp;as_oq=&amp;as_eq=&amp;as_occt=any&amp;as_sauthors=&amp;as_publication=Workshop+sobre+Intera%C3%A7%C3%A3o+e+Pesquisa+de+Usu%C3%A1rios+no+Desenvolvimento+de+Jogos&amp;as_ylo=2019&amp;as_yhi=2023&amp;hl=pt-BR&amp;as_sdt=0%2C5</v>
      </c>
      <c r="J74" t="str">
        <f>IFERROR(__xludf.DUMMYFUNCTION("""COMPUTED_VALUE"""),"Realizado como parte do IHC")</f>
        <v>Realizado como parte do IHC</v>
      </c>
    </row>
    <row r="75">
      <c r="A75" t="str">
        <f>IFERROR(__xludf.DUMMYFUNCTION("""COMPUTED_VALUE"""),"WIT")</f>
        <v>WIT</v>
      </c>
      <c r="B75" t="str">
        <f>IFERROR(__xludf.DUMMYFUNCTION("""COMPUTED_VALUE"""),"Women in Information Technology")</f>
        <v>Women in Information Technology</v>
      </c>
      <c r="C75" s="60" t="str">
        <f>IFERROR(__xludf.DUMMYFUNCTION("""COMPUTED_VALUE"""),"https://sol.sbc.org.br/index.php/wit")</f>
        <v>https://sol.sbc.org.br/index.php/wit</v>
      </c>
      <c r="D75">
        <f>IFERROR(__xludf.DUMMYFUNCTION("""COMPUTED_VALUE"""),18.0)</f>
        <v>18</v>
      </c>
      <c r="F75" t="str">
        <f>IFERROR(__xludf.DUMMYFUNCTION("""COMPUTED_VALUE"""),"CSBC")</f>
        <v>CSBC</v>
      </c>
      <c r="G75">
        <f>IFERROR(__xludf.DUMMYFUNCTION("""COMPUTED_VALUE"""),2024.0)</f>
        <v>2024</v>
      </c>
      <c r="H75">
        <f>IFERROR(__xludf.DUMMYFUNCTION("""COMPUTED_VALUE"""),11.0)</f>
        <v>11</v>
      </c>
      <c r="I75" s="60" t="str">
        <f>IFERROR(__xludf.DUMMYFUNCTION("""COMPUTED_VALUE"""),"https://scholar.google.com.br/citations?hl=pt-BR&amp;view_op=list_hcore&amp;venue=UW0cTaGLmlEJ.2024")</f>
        <v>https://scholar.google.com.br/citations?hl=pt-BR&amp;view_op=list_hcore&amp;venue=UW0cTaGLmlEJ.2024</v>
      </c>
      <c r="J75" t="str">
        <f>IFERROR(__xludf.DUMMYFUNCTION("""COMPUTED_VALUE"""),"Realizado como parte do CSBC")</f>
        <v>Realizado como parte do CSBC</v>
      </c>
    </row>
    <row r="76">
      <c r="A76" t="str">
        <f>IFERROR(__xludf.DUMMYFUNCTION("""COMPUTED_VALUE"""),"WPCI")</f>
        <v>WPCI</v>
      </c>
      <c r="B76" t="str">
        <f>IFERROR(__xludf.DUMMYFUNCTION("""COMPUTED_VALUE"""),"Workshop de Pensamento Computacional e Inclusão (WPCI)")</f>
        <v>Workshop de Pensamento Computacional e Inclusão (WPCI)</v>
      </c>
      <c r="C76" s="60" t="str">
        <f>IFERROR(__xludf.DUMMYFUNCTION("""COMPUTED_VALUE"""),"https://sol.sbc.org.br/index.php/wpci/issue/archive")</f>
        <v>https://sol.sbc.org.br/index.php/wpci/issue/archive</v>
      </c>
      <c r="D76">
        <f>IFERROR(__xludf.DUMMYFUNCTION("""COMPUTED_VALUE"""),2.0)</f>
        <v>2</v>
      </c>
      <c r="G76">
        <f>IFERROR(__xludf.DUMMYFUNCTION("""COMPUTED_VALUE"""),2023.0)</f>
        <v>2023</v>
      </c>
      <c r="H76">
        <f>IFERROR(__xludf.DUMMYFUNCTION("""COMPUTED_VALUE"""),3.0)</f>
        <v>3</v>
      </c>
      <c r="I76" s="60" t="str">
        <f>IFERROR(__xludf.DUMMYFUNCTION("""COMPUTED_VALUE"""),"https://scholar.google.com.br/scholar?as_q=&amp;as_epq=&amp;as_oq=&amp;as_eq=&amp;as_occt=any&amp;as_sauthors=&amp;as_publication=Workshop+de+Pensamento+Computacional+e+Inclus%C3%A3o&amp;as_ylo=2019&amp;as_yhi=2023&amp;hl=pt-BR&amp;as_sdt=0%2C5")</f>
        <v>https://scholar.google.com.br/scholar?as_q=&amp;as_epq=&amp;as_oq=&amp;as_eq=&amp;as_occt=any&amp;as_sauthors=&amp;as_publication=Workshop+de+Pensamento+Computacional+e+Inclus%C3%A3o&amp;as_ylo=2019&amp;as_yhi=2023&amp;hl=pt-BR&amp;as_sdt=0%2C5</v>
      </c>
      <c r="J76" t="str">
        <f>IFERROR(__xludf.DUMMYFUNCTION("""COMPUTED_VALUE"""),"Realizado como parte do CBIE")</f>
        <v>Realizado como parte do CBIE</v>
      </c>
    </row>
    <row r="77">
      <c r="A77" t="str">
        <f>IFERROR(__xludf.DUMMYFUNCTION("""COMPUTED_VALUE"""),"WPEIF")</f>
        <v>WPEIF</v>
      </c>
      <c r="B77" t="str">
        <f>IFERROR(__xludf.DUMMYFUNCTION("""COMPUTED_VALUE"""),"Workshop de Pesquisa Experimental da Internet do Futuro (WPEIF)")</f>
        <v>Workshop de Pesquisa Experimental da Internet do Futuro (WPEIF)</v>
      </c>
      <c r="C77" s="60" t="str">
        <f>IFERROR(__xludf.DUMMYFUNCTION("""COMPUTED_VALUE"""),"https://sol.sbc.org.br/index.php/wpeif/issue/archive")</f>
        <v>https://sol.sbc.org.br/index.php/wpeif/issue/archive</v>
      </c>
      <c r="D77">
        <f>IFERROR(__xludf.DUMMYFUNCTION("""COMPUTED_VALUE"""),14.0)</f>
        <v>14</v>
      </c>
      <c r="F77" t="str">
        <f>IFERROR(__xludf.DUMMYFUNCTION("""COMPUTED_VALUE"""),"CE-RESD")</f>
        <v>CE-RESD</v>
      </c>
      <c r="G77">
        <f>IFERROR(__xludf.DUMMYFUNCTION("""COMPUTED_VALUE"""),2023.0)</f>
        <v>2023</v>
      </c>
      <c r="H77">
        <f>IFERROR(__xludf.DUMMYFUNCTION("""COMPUTED_VALUE"""),3.0)</f>
        <v>3</v>
      </c>
      <c r="I77" s="60" t="str">
        <f>IFERROR(__xludf.DUMMYFUNCTION("""COMPUTED_VALUE"""),"https://scholar.google.com.br/scholar?as_q=&amp;as_epq=&amp;as_oq=&amp;as_eq=&amp;as_occt=any&amp;as_sauthors=&amp;as_publication=Workshop+de+Pesquisa+Experimental+da+Internet+do+Futuro&amp;as_ylo=2019&amp;as_yhi=2023&amp;hl=pt-BR&amp;as_sdt=0%2C5")</f>
        <v>https://scholar.google.com.br/scholar?as_q=&amp;as_epq=&amp;as_oq=&amp;as_eq=&amp;as_occt=any&amp;as_sauthors=&amp;as_publication=Workshop+de+Pesquisa+Experimental+da+Internet+do+Futuro&amp;as_ylo=2019&amp;as_yhi=2023&amp;hl=pt-BR&amp;as_sdt=0%2C5</v>
      </c>
      <c r="J77" t="str">
        <f>IFERROR(__xludf.DUMMYFUNCTION("""COMPUTED_VALUE"""),"Realizado como parte do SBRC")</f>
        <v>Realizado como parte do SBRC</v>
      </c>
    </row>
    <row r="78">
      <c r="A78" t="str">
        <f>IFERROR(__xludf.DUMMYFUNCTION("""COMPUTED_VALUE"""),"WPerformance")</f>
        <v>WPerformance</v>
      </c>
      <c r="B78" t="str">
        <f>IFERROR(__xludf.DUMMYFUNCTION("""COMPUTED_VALUE"""),"Workshop em Desempenho de Sistemas Computacionais e de Comunicação")</f>
        <v>Workshop em Desempenho de Sistemas Computacionais e de Comunicação</v>
      </c>
      <c r="C78" s="60" t="str">
        <f>IFERROR(__xludf.DUMMYFUNCTION("""COMPUTED_VALUE"""),"https://sol.sbc.org.br/index.php/wperformance")</f>
        <v>https://sol.sbc.org.br/index.php/wperformance</v>
      </c>
      <c r="D78">
        <f>IFERROR(__xludf.DUMMYFUNCTION("""COMPUTED_VALUE"""),23.0)</f>
        <v>23</v>
      </c>
      <c r="F78" t="str">
        <f>IFERROR(__xludf.DUMMYFUNCTION("""COMPUTED_VALUE"""),"CSBC")</f>
        <v>CSBC</v>
      </c>
      <c r="G78">
        <f>IFERROR(__xludf.DUMMYFUNCTION("""COMPUTED_VALUE"""),2024.0)</f>
        <v>2024</v>
      </c>
      <c r="H78">
        <f>IFERROR(__xludf.DUMMYFUNCTION("""COMPUTED_VALUE"""),4.0)</f>
        <v>4</v>
      </c>
      <c r="I78" s="60" t="str">
        <f>IFERROR(__xludf.DUMMYFUNCTION("""COMPUTED_VALUE"""),"https://scholar.google.com.br/scholar?as_q=&amp;as_epq=&amp;as_oq=&amp;as_eq=&amp;as_occt=any&amp;as_sauthors=&amp;as_publication=Workshop+em+Desempenho+de+Sistemas+Computacionais+e+de+Comunica%C3%A7%C3%A3o&amp;as_ylo=2019&amp;as_yhi=2023&amp;hl=pt-BR&amp;as_sdt=0%2C5")</f>
        <v>https://scholar.google.com.br/scholar?as_q=&amp;as_epq=&amp;as_oq=&amp;as_eq=&amp;as_occt=any&amp;as_sauthors=&amp;as_publication=Workshop+em+Desempenho+de+Sistemas+Computacionais+e+de+Comunica%C3%A7%C3%A3o&amp;as_ylo=2019&amp;as_yhi=2023&amp;hl=pt-BR&amp;as_sdt=0%2C5</v>
      </c>
      <c r="J78" t="str">
        <f>IFERROR(__xludf.DUMMYFUNCTION("""COMPUTED_VALUE"""),"Realizado como parte do CSBC")</f>
        <v>Realizado como parte do CSBC</v>
      </c>
    </row>
    <row r="79">
      <c r="A79" t="str">
        <f>IFERROR(__xludf.DUMMYFUNCTION("""COMPUTED_VALUE"""),"WRE")</f>
        <v>WRE</v>
      </c>
      <c r="B79" t="str">
        <f>IFERROR(__xludf.DUMMYFUNCTION("""COMPUTED_VALUE"""),"Workshop de Robótica na Educação")</f>
        <v>Workshop de Robótica na Educação</v>
      </c>
      <c r="C79" s="60" t="str">
        <f>IFERROR(__xludf.DUMMYFUNCTION("""COMPUTED_VALUE"""),"https://sol.sbc.org.br/index.php/sbrlars")</f>
        <v>https://sol.sbc.org.br/index.php/sbrlars</v>
      </c>
      <c r="D79">
        <f>IFERROR(__xludf.DUMMYFUNCTION("""COMPUTED_VALUE"""),13.0)</f>
        <v>13</v>
      </c>
      <c r="G79">
        <f>IFERROR(__xludf.DUMMYFUNCTION("""COMPUTED_VALUE"""),2022.0)</f>
        <v>2022</v>
      </c>
      <c r="H79" t="str">
        <f>IFERROR(__xludf.DUMMYFUNCTION("""COMPUTED_VALUE"""),"---")</f>
        <v>---</v>
      </c>
      <c r="I79" t="str">
        <f>IFERROR(__xludf.DUMMYFUNCTION("""COMPUTED_VALUE"""),"---")</f>
        <v>---</v>
      </c>
      <c r="J79" t="str">
        <f>IFERROR(__xludf.DUMMYFUNCTION("""COMPUTED_VALUE"""),"SBR, LARS e WRE publicam anais em conjunto")</f>
        <v>SBR, LARS e WRE publicam anais em conjunto</v>
      </c>
    </row>
    <row r="80">
      <c r="A80" t="str">
        <f>IFERROR(__xludf.DUMMYFUNCTION("""COMPUTED_VALUE"""),"WPIETF")</f>
        <v>WPIETF</v>
      </c>
      <c r="B80" t="str">
        <f>IFERROR(__xludf.DUMMYFUNCTION("""COMPUTED_VALUE"""),"Workshop Pré-IETF (WPIETF)")</f>
        <v>Workshop Pré-IETF (WPIETF)</v>
      </c>
      <c r="C80" s="60" t="str">
        <f>IFERROR(__xludf.DUMMYFUNCTION("""COMPUTED_VALUE"""),"https://sol.sbc.org.br/index.php/wpietf/issue/archive")</f>
        <v>https://sol.sbc.org.br/index.php/wpietf/issue/archive</v>
      </c>
      <c r="D80">
        <f>IFERROR(__xludf.DUMMYFUNCTION("""COMPUTED_VALUE"""),8.0)</f>
        <v>8</v>
      </c>
      <c r="F80" t="str">
        <f>IFERROR(__xludf.DUMMYFUNCTION("""COMPUTED_VALUE"""),"CSBC")</f>
        <v>CSBC</v>
      </c>
      <c r="G80">
        <f>IFERROR(__xludf.DUMMYFUNCTION("""COMPUTED_VALUE"""),2021.0)</f>
        <v>2021</v>
      </c>
      <c r="H80">
        <f>IFERROR(__xludf.DUMMYFUNCTION("""COMPUTED_VALUE"""),2.0)</f>
        <v>2</v>
      </c>
      <c r="I80" s="60" t="str">
        <f>IFERROR(__xludf.DUMMYFUNCTION("""COMPUTED_VALUE"""),"https://scholar.google.com.br/scholar?as_q=&amp;as_epq=&amp;as_oq=&amp;as_eq=&amp;as_occt=any&amp;as_sauthors=&amp;as_publication=Workshop+Pr%C3%A9-IETF&amp;as_ylo=2019&amp;as_yhi=2023&amp;hl=pt-BR&amp;as_sdt=0%2C5")</f>
        <v>https://scholar.google.com.br/scholar?as_q=&amp;as_epq=&amp;as_oq=&amp;as_eq=&amp;as_occt=any&amp;as_sauthors=&amp;as_publication=Workshop+Pr%C3%A9-IETF&amp;as_ylo=2019&amp;as_yhi=2023&amp;hl=pt-BR&amp;as_sdt=0%2C5</v>
      </c>
      <c r="J80" t="str">
        <f>IFERROR(__xludf.DUMMYFUNCTION("""COMPUTED_VALUE"""),"Realizado como parte do CSBC")</f>
        <v>Realizado como parte do CSBC</v>
      </c>
    </row>
    <row r="81">
      <c r="A81" t="str">
        <f>IFERROR(__xludf.DUMMYFUNCTION("""COMPUTED_VALUE"""),"WQuantum")</f>
        <v>WQuantum</v>
      </c>
      <c r="B81" t="str">
        <f>IFERROR(__xludf.DUMMYFUNCTION("""COMPUTED_VALUE"""),"Workshop de Comunicação e Computação Quântica (WQuantum)")</f>
        <v>Workshop de Comunicação e Computação Quântica (WQuantum)</v>
      </c>
      <c r="C81" s="60" t="str">
        <f>IFERROR(__xludf.DUMMYFUNCTION("""COMPUTED_VALUE"""),"https://sol.sbc.org.br/index.php/wquantum/issue/archive")</f>
        <v>https://sol.sbc.org.br/index.php/wquantum/issue/archive</v>
      </c>
      <c r="D81">
        <f>IFERROR(__xludf.DUMMYFUNCTION("""COMPUTED_VALUE"""),2.0)</f>
        <v>2</v>
      </c>
      <c r="F81" t="str">
        <f>IFERROR(__xludf.DUMMYFUNCTION("""COMPUTED_VALUE"""),"CE-RESD")</f>
        <v>CE-RESD</v>
      </c>
      <c r="G81">
        <f>IFERROR(__xludf.DUMMYFUNCTION("""COMPUTED_VALUE"""),2022.0)</f>
        <v>2022</v>
      </c>
      <c r="H81">
        <f>IFERROR(__xludf.DUMMYFUNCTION("""COMPUTED_VALUE"""),3.0)</f>
        <v>3</v>
      </c>
      <c r="I81" s="60" t="str">
        <f>IFERROR(__xludf.DUMMYFUNCTION("""COMPUTED_VALUE"""),"https://scholar.google.com.br/scholar?as_q=&amp;as_epq=&amp;as_oq=&amp;as_eq=&amp;as_occt=any&amp;as_sauthors=&amp;as_publication=Workshop+de+Comunica%C3%A7%C3%A3o+e+Computa%C3%A7%C3%A3o+Qu%C3%A2ntica&amp;as_ylo=2019&amp;as_yhi=2023&amp;hl=pt-BR&amp;as_sdt=0%2C5")</f>
        <v>https://scholar.google.com.br/scholar?as_q=&amp;as_epq=&amp;as_oq=&amp;as_eq=&amp;as_occt=any&amp;as_sauthors=&amp;as_publication=Workshop+de+Comunica%C3%A7%C3%A3o+e+Computa%C3%A7%C3%A3o+Qu%C3%A2ntica&amp;as_ylo=2019&amp;as_yhi=2023&amp;hl=pt-BR&amp;as_sdt=0%2C5</v>
      </c>
      <c r="J81" t="str">
        <f>IFERROR(__xludf.DUMMYFUNCTION("""COMPUTED_VALUE"""),"Realizado como parte do SBRC")</f>
        <v>Realizado como parte do SBRC</v>
      </c>
    </row>
    <row r="82">
      <c r="A82" t="str">
        <f>IFERROR(__xludf.DUMMYFUNCTION("""COMPUTED_VALUE"""),"WRAC")</f>
        <v>WRAC</v>
      </c>
      <c r="B82" t="str">
        <f>IFERROR(__xludf.DUMMYFUNCTION("""COMPUTED_VALUE"""),"Workshop de Regulação, Avaliação da Conformidade e Certificação de Segurança")</f>
        <v>Workshop de Regulação, Avaliação da Conformidade e Certificação de Segurança</v>
      </c>
      <c r="C82" s="60" t="str">
        <f>IFERROR(__xludf.DUMMYFUNCTION("""COMPUTED_VALUE"""),"https://sol.sbc.org.br/index.php/wrac/issue/archive")</f>
        <v>https://sol.sbc.org.br/index.php/wrac/issue/archive</v>
      </c>
      <c r="D82">
        <f>IFERROR(__xludf.DUMMYFUNCTION("""COMPUTED_VALUE"""),5.0)</f>
        <v>5</v>
      </c>
      <c r="G82">
        <f>IFERROR(__xludf.DUMMYFUNCTION("""COMPUTED_VALUE"""),2019.0)</f>
        <v>2019</v>
      </c>
      <c r="H82">
        <f>IFERROR(__xludf.DUMMYFUNCTION("""COMPUTED_VALUE"""),2.0)</f>
        <v>2</v>
      </c>
      <c r="I82" s="60" t="str">
        <f>IFERROR(__xludf.DUMMYFUNCTION("""COMPUTED_VALUE"""),"https://scholar.google.com.br/scholar?as_q=&amp;as_epq=&amp;as_oq=&amp;as_eq=&amp;as_occt=any&amp;as_sauthors=&amp;as_publication=Workshop+de+Regula%C3%A7%C3%A3o%2C+Avalia%C3%A7%C3%A3o+da+Conformidade+e+Certifica%C3%A7%C3%A3o+de+Seguran%C3%A7a&amp;as_ylo=2019&amp;as_yhi=2023&amp;hl=pt-BR&amp;as"&amp;"_sdt=0%2C5")</f>
        <v>https://scholar.google.com.br/scholar?as_q=&amp;as_epq=&amp;as_oq=&amp;as_eq=&amp;as_occt=any&amp;as_sauthors=&amp;as_publication=Workshop+de+Regula%C3%A7%C3%A3o%2C+Avalia%C3%A7%C3%A3o+da+Conformidade+e+Certifica%C3%A7%C3%A3o+de+Seguran%C3%A7a&amp;as_ylo=2019&amp;as_yhi=2023&amp;hl=pt-BR&amp;as_sdt=0%2C5</v>
      </c>
      <c r="J82" t="str">
        <f>IFERROR(__xludf.DUMMYFUNCTION("""COMPUTED_VALUE"""),"Realizado como parte do SBSeg")</f>
        <v>Realizado como parte do SBSeg</v>
      </c>
    </row>
    <row r="83">
      <c r="A83" t="str">
        <f>IFERROR(__xludf.DUMMYFUNCTION("""COMPUTED_VALUE"""),"WSCDC")</f>
        <v>WSCDC</v>
      </c>
      <c r="B83" t="str">
        <f>IFERROR(__xludf.DUMMYFUNCTION("""COMPUTED_VALUE"""),"Workshop de Segurança Cibernética em Dispositivos Conectados (WSCDC)")</f>
        <v>Workshop de Segurança Cibernética em Dispositivos Conectados (WSCDC)</v>
      </c>
      <c r="C83" s="60" t="str">
        <f>IFERROR(__xludf.DUMMYFUNCTION("""COMPUTED_VALUE"""),"https://sol.sbc.org.br/index.php/wscdc/issue/archive")</f>
        <v>https://sol.sbc.org.br/index.php/wscdc/issue/archive</v>
      </c>
      <c r="D83">
        <f>IFERROR(__xludf.DUMMYFUNCTION("""COMPUTED_VALUE"""),2.0)</f>
        <v>2</v>
      </c>
      <c r="G83">
        <f>IFERROR(__xludf.DUMMYFUNCTION("""COMPUTED_VALUE"""),2019.0)</f>
        <v>2019</v>
      </c>
      <c r="H83" t="str">
        <f>IFERROR(__xludf.DUMMYFUNCTION("""COMPUTED_VALUE"""),"---")</f>
        <v>---</v>
      </c>
      <c r="I83" t="str">
        <f>IFERROR(__xludf.DUMMYFUNCTION("""COMPUTED_VALUE"""),"---")</f>
        <v>---</v>
      </c>
      <c r="J83" t="str">
        <f>IFERROR(__xludf.DUMMYFUNCTION("""COMPUTED_VALUE"""),"Realizado como parte do SBSeg")</f>
        <v>Realizado como parte do SBSeg</v>
      </c>
    </row>
    <row r="84">
      <c r="A84" t="str">
        <f>IFERROR(__xludf.DUMMYFUNCTION("""COMPUTED_VALUE"""),"WSENSING")</f>
        <v>WSENSING</v>
      </c>
      <c r="B84" t="str">
        <f>IFERROR(__xludf.DUMMYFUNCTION("""COMPUTED_VALUE"""),"Workshop on Security, Privacy and Reliability on Wireless Sensing Networks (WSENSING)")</f>
        <v>Workshop on Security, Privacy and Reliability on Wireless Sensing Networks (WSENSING)</v>
      </c>
      <c r="C84" s="60" t="str">
        <f>IFERROR(__xludf.DUMMYFUNCTION("""COMPUTED_VALUE"""),"https://sol.sbc.org.br/index.php/wsensing/issue/archive")</f>
        <v>https://sol.sbc.org.br/index.php/wsensing/issue/archive</v>
      </c>
      <c r="D84">
        <f>IFERROR(__xludf.DUMMYFUNCTION("""COMPUTED_VALUE"""),3.0)</f>
        <v>3</v>
      </c>
      <c r="G84">
        <f>IFERROR(__xludf.DUMMYFUNCTION("""COMPUTED_VALUE"""),2023.0)</f>
        <v>2023</v>
      </c>
      <c r="H84" t="str">
        <f>IFERROR(__xludf.DUMMYFUNCTION("""COMPUTED_VALUE"""),"---")</f>
        <v>---</v>
      </c>
      <c r="I84" t="str">
        <f>IFERROR(__xludf.DUMMYFUNCTION("""COMPUTED_VALUE"""),"---")</f>
        <v>---</v>
      </c>
      <c r="J84" t="str">
        <f>IFERROR(__xludf.DUMMYFUNCTION("""COMPUTED_VALUE"""),"Realizado como parte do LADC")</f>
        <v>Realizado como parte do LADC</v>
      </c>
    </row>
    <row r="85">
      <c r="A85" t="str">
        <f>IFERROR(__xludf.DUMMYFUNCTION("""COMPUTED_VALUE"""),"WSlice")</f>
        <v>WSlice</v>
      </c>
      <c r="B85" t="str">
        <f>IFERROR(__xludf.DUMMYFUNCTION("""COMPUTED_VALUE"""),"Workshop de Teoria, Tecnologias e Aplicações de Slicing para Infraestruturas Softwarizadas (WSlice)")</f>
        <v>Workshop de Teoria, Tecnologias e Aplicações de Slicing para Infraestruturas Softwarizadas (WSlice)</v>
      </c>
      <c r="C85" s="60" t="str">
        <f>IFERROR(__xludf.DUMMYFUNCTION("""COMPUTED_VALUE"""),"https://sol.sbc.org.br/index.php/wslice/issue/archive")</f>
        <v>https://sol.sbc.org.br/index.php/wslice/issue/archive</v>
      </c>
      <c r="D85">
        <f>IFERROR(__xludf.DUMMYFUNCTION("""COMPUTED_VALUE"""),1.0)</f>
        <v>1</v>
      </c>
      <c r="F85" t="str">
        <f>IFERROR(__xludf.DUMMYFUNCTION("""COMPUTED_VALUE"""),"CE-RESD")</f>
        <v>CE-RESD</v>
      </c>
      <c r="G85">
        <f>IFERROR(__xludf.DUMMYFUNCTION("""COMPUTED_VALUE"""),2019.0)</f>
        <v>2019</v>
      </c>
      <c r="H85" t="str">
        <f>IFERROR(__xludf.DUMMYFUNCTION("""COMPUTED_VALUE"""),"---")</f>
        <v>---</v>
      </c>
      <c r="I85" t="str">
        <f>IFERROR(__xludf.DUMMYFUNCTION("""COMPUTED_VALUE"""),"---")</f>
        <v>---</v>
      </c>
      <c r="J85" t="str">
        <f>IFERROR(__xludf.DUMMYFUNCTION("""COMPUTED_VALUE"""),"Realizado como parte do SBRC")</f>
        <v>Realizado como parte do SBRC</v>
      </c>
    </row>
    <row r="86">
      <c r="A86" t="str">
        <f>IFERROR(__xludf.DUMMYFUNCTION("""COMPUTED_VALUE"""),"WTE")</f>
        <v>WTE</v>
      </c>
      <c r="B86" t="str">
        <f>IFERROR(__xludf.DUMMYFUNCTION("""COMPUTED_VALUE"""),"Workshop de Tecnologia Eleitoral")</f>
        <v>Workshop de Tecnologia Eleitoral</v>
      </c>
      <c r="C86" s="60" t="str">
        <f>IFERROR(__xludf.DUMMYFUNCTION("""COMPUTED_VALUE"""),"https://sol.sbc.org.br/index.php/wte/issue/archive")</f>
        <v>https://sol.sbc.org.br/index.php/wte/issue/archive</v>
      </c>
      <c r="D86">
        <f>IFERROR(__xludf.DUMMYFUNCTION("""COMPUTED_VALUE"""),4.0)</f>
        <v>4</v>
      </c>
      <c r="G86">
        <f>IFERROR(__xludf.DUMMYFUNCTION("""COMPUTED_VALUE"""),2019.0)</f>
        <v>2019</v>
      </c>
      <c r="H86" t="str">
        <f>IFERROR(__xludf.DUMMYFUNCTION("""COMPUTED_VALUE"""),"---")</f>
        <v>---</v>
      </c>
      <c r="I86" t="str">
        <f>IFERROR(__xludf.DUMMYFUNCTION("""COMPUTED_VALUE"""),"---")</f>
        <v>---</v>
      </c>
      <c r="J86" t="str">
        <f>IFERROR(__xludf.DUMMYFUNCTION("""COMPUTED_VALUE"""),"Realizado como parte do SBSeg")</f>
        <v>Realizado como parte do SBSeg</v>
      </c>
    </row>
    <row r="87">
      <c r="A87" t="str">
        <f>IFERROR(__xludf.DUMMYFUNCTION("""COMPUTED_VALUE"""),"WTESTBEDS")</f>
        <v>WTESTBEDS</v>
      </c>
      <c r="B87" t="str">
        <f>IFERROR(__xludf.DUMMYFUNCTION("""COMPUTED_VALUE"""),"Workshop de Testbeds")</f>
        <v>Workshop de Testbeds</v>
      </c>
      <c r="C87" s="60" t="str">
        <f>IFERROR(__xludf.DUMMYFUNCTION("""COMPUTED_VALUE"""),"https://sol.sbc.org.br/index.php/wtestbeds/issue/archive")</f>
        <v>https://sol.sbc.org.br/index.php/wtestbeds/issue/archive</v>
      </c>
      <c r="D87">
        <f>IFERROR(__xludf.DUMMYFUNCTION("""COMPUTED_VALUE"""),2.0)</f>
        <v>2</v>
      </c>
      <c r="G87">
        <f>IFERROR(__xludf.DUMMYFUNCTION("""COMPUTED_VALUE"""),2023.0)</f>
        <v>2023</v>
      </c>
      <c r="H87" t="str">
        <f>IFERROR(__xludf.DUMMYFUNCTION("""COMPUTED_VALUE"""),"---")</f>
        <v>---</v>
      </c>
      <c r="I87" t="str">
        <f>IFERROR(__xludf.DUMMYFUNCTION("""COMPUTED_VALUE"""),"---")</f>
        <v>---</v>
      </c>
      <c r="J87" t="str">
        <f>IFERROR(__xludf.DUMMYFUNCTION("""COMPUTED_VALUE"""),"Realizado como parte do CSBC")</f>
        <v>Realizado como parte do CSBC</v>
      </c>
    </row>
    <row r="88">
      <c r="A88" t="str">
        <f>IFERROR(__xludf.DUMMYFUNCTION("""COMPUTED_VALUE"""),"WTF")</f>
        <v>WTF</v>
      </c>
      <c r="B88" t="str">
        <f>IFERROR(__xludf.DUMMYFUNCTION("""COMPUTED_VALUE"""),"Workshop de Testes e Tolerância a Falhas (WTF)")</f>
        <v>Workshop de Testes e Tolerância a Falhas (WTF)</v>
      </c>
      <c r="C88" s="60" t="str">
        <f>IFERROR(__xludf.DUMMYFUNCTION("""COMPUTED_VALUE"""),"https://sol.sbc.org.br/index.php/wtf/issue/archive")</f>
        <v>https://sol.sbc.org.br/index.php/wtf/issue/archive</v>
      </c>
      <c r="D88">
        <f>IFERROR(__xludf.DUMMYFUNCTION("""COMPUTED_VALUE"""),25.0)</f>
        <v>25</v>
      </c>
      <c r="F88" t="str">
        <f>IFERROR(__xludf.DUMMYFUNCTION("""COMPUTED_VALUE"""),"CE-RESD")</f>
        <v>CE-RESD</v>
      </c>
      <c r="G88">
        <f>IFERROR(__xludf.DUMMYFUNCTION("""COMPUTED_VALUE"""),2024.0)</f>
        <v>2024</v>
      </c>
      <c r="H88">
        <f>IFERROR(__xludf.DUMMYFUNCTION("""COMPUTED_VALUE"""),4.0)</f>
        <v>4</v>
      </c>
      <c r="I88" s="60" t="str">
        <f>IFERROR(__xludf.DUMMYFUNCTION("""COMPUTED_VALUE"""),"https://scholar.google.com.br/scholar?as_q=&amp;as_epq=&amp;as_oq=&amp;as_eq=&amp;as_occt=any&amp;as_sauthors=&amp;as_publication=Workshop+de+Testes+e+Toler%C3%A2ncia+a+Falhas&amp;as_ylo=2019&amp;as_yhi=2023&amp;hl=pt-BR&amp;as_sdt=0%2C5")</f>
        <v>https://scholar.google.com.br/scholar?as_q=&amp;as_epq=&amp;as_oq=&amp;as_eq=&amp;as_occt=any&amp;as_sauthors=&amp;as_publication=Workshop+de+Testes+e+Toler%C3%A2ncia+a+Falhas&amp;as_ylo=2019&amp;as_yhi=2023&amp;hl=pt-BR&amp;as_sdt=0%2C5</v>
      </c>
      <c r="J88" t="str">
        <f>IFERROR(__xludf.DUMMYFUNCTION("""COMPUTED_VALUE"""),"Realizado como parte do SBRC")</f>
        <v>Realizado como parte do SBRC</v>
      </c>
    </row>
    <row r="89">
      <c r="A89" t="str">
        <f>IFERROR(__xludf.DUMMYFUNCTION("""COMPUTED_VALUE"""),"WTranS")</f>
        <v>WTranS</v>
      </c>
      <c r="B89" t="str">
        <f>IFERROR(__xludf.DUMMYFUNCTION("""COMPUTED_VALUE"""),"Workshop de Transparência em Sistemas (WTranS)")</f>
        <v>Workshop de Transparência em Sistemas (WTranS)</v>
      </c>
      <c r="C89" s="60" t="str">
        <f>IFERROR(__xludf.DUMMYFUNCTION("""COMPUTED_VALUE"""),"https://sol.sbc.org.br/index.php/wtrans/issue/archive")</f>
        <v>https://sol.sbc.org.br/index.php/wtrans/issue/archive</v>
      </c>
      <c r="D89">
        <f>IFERROR(__xludf.DUMMYFUNCTION("""COMPUTED_VALUE"""),7.0)</f>
        <v>7</v>
      </c>
      <c r="F89" t="str">
        <f>IFERROR(__xludf.DUMMYFUNCTION("""COMPUTED_VALUE"""),"CSBC")</f>
        <v>CSBC</v>
      </c>
      <c r="G89">
        <f>IFERROR(__xludf.DUMMYFUNCTION("""COMPUTED_VALUE"""),2019.0)</f>
        <v>2019</v>
      </c>
      <c r="H89" t="str">
        <f>IFERROR(__xludf.DUMMYFUNCTION("""COMPUTED_VALUE"""),"---")</f>
        <v>---</v>
      </c>
      <c r="I89" t="str">
        <f>IFERROR(__xludf.DUMMYFUNCTION("""COMPUTED_VALUE"""),"---")</f>
        <v>---</v>
      </c>
      <c r="J89" t="str">
        <f>IFERROR(__xludf.DUMMYFUNCTION("""COMPUTED_VALUE"""),"Evento descontinuado")</f>
        <v>Evento descontinuado</v>
      </c>
    </row>
  </sheetData>
  <hyperlinks>
    <hyperlink r:id="rId1" ref="C2"/>
    <hyperlink r:id="rId2" ref="I2"/>
    <hyperlink r:id="rId3" ref="C3"/>
    <hyperlink r:id="rId4" ref="I3"/>
    <hyperlink r:id="rId5" ref="C4"/>
    <hyperlink r:id="rId6" ref="I4"/>
    <hyperlink r:id="rId7" ref="C5"/>
    <hyperlink r:id="rId8" ref="I5"/>
    <hyperlink r:id="rId9" ref="C6"/>
    <hyperlink r:id="rId10" ref="I6"/>
    <hyperlink r:id="rId11" ref="C7"/>
    <hyperlink r:id="rId12" ref="I7"/>
    <hyperlink r:id="rId13" ref="C8"/>
    <hyperlink r:id="rId14" ref="I8"/>
    <hyperlink r:id="rId15" ref="C9"/>
    <hyperlink r:id="rId16" ref="I9"/>
    <hyperlink r:id="rId17" ref="C10"/>
    <hyperlink r:id="rId18" ref="I10"/>
    <hyperlink r:id="rId19" ref="C11"/>
    <hyperlink r:id="rId20" ref="C12"/>
    <hyperlink r:id="rId21" ref="I12"/>
    <hyperlink r:id="rId22" ref="C13"/>
    <hyperlink r:id="rId23" ref="I13"/>
    <hyperlink r:id="rId24" ref="C14"/>
    <hyperlink r:id="rId25" ref="I14"/>
    <hyperlink r:id="rId26" ref="C15"/>
    <hyperlink r:id="rId27" ref="I15"/>
    <hyperlink r:id="rId28" ref="C16"/>
    <hyperlink r:id="rId29" ref="I16"/>
    <hyperlink r:id="rId30" ref="C17"/>
    <hyperlink r:id="rId31" ref="I17"/>
    <hyperlink r:id="rId32" ref="C18"/>
    <hyperlink r:id="rId33" ref="I18"/>
    <hyperlink r:id="rId34" ref="C19"/>
    <hyperlink r:id="rId35" ref="I19"/>
    <hyperlink r:id="rId36" ref="C20"/>
    <hyperlink r:id="rId37" ref="I20"/>
    <hyperlink r:id="rId38" ref="C21"/>
    <hyperlink r:id="rId39" ref="I21"/>
    <hyperlink r:id="rId40" ref="C22"/>
    <hyperlink r:id="rId41" ref="I22"/>
    <hyperlink r:id="rId42" ref="C23"/>
    <hyperlink r:id="rId43" ref="I23"/>
    <hyperlink r:id="rId44" ref="C24"/>
    <hyperlink r:id="rId45" ref="C25"/>
    <hyperlink r:id="rId46" ref="I25"/>
    <hyperlink r:id="rId47" ref="C26"/>
    <hyperlink r:id="rId48" ref="I26"/>
    <hyperlink r:id="rId49" ref="C27"/>
    <hyperlink r:id="rId50" ref="I27"/>
    <hyperlink r:id="rId51" ref="C28"/>
    <hyperlink r:id="rId52" ref="I28"/>
    <hyperlink r:id="rId53" ref="C29"/>
    <hyperlink r:id="rId54" ref="I29"/>
    <hyperlink r:id="rId55" ref="C30"/>
    <hyperlink r:id="rId56" ref="I30"/>
    <hyperlink r:id="rId57" ref="C31"/>
    <hyperlink r:id="rId58" ref="C32"/>
    <hyperlink r:id="rId59" ref="I32"/>
    <hyperlink r:id="rId60" ref="C33"/>
    <hyperlink r:id="rId61" ref="I33"/>
    <hyperlink r:id="rId62" ref="C34"/>
    <hyperlink r:id="rId63" ref="I34"/>
    <hyperlink r:id="rId64" ref="C35"/>
    <hyperlink r:id="rId65" ref="I35"/>
    <hyperlink r:id="rId66" ref="C36"/>
    <hyperlink r:id="rId67" ref="I36"/>
    <hyperlink r:id="rId68" ref="C37"/>
    <hyperlink r:id="rId69" ref="I37"/>
    <hyperlink r:id="rId70" ref="C38"/>
    <hyperlink r:id="rId71" ref="I38"/>
    <hyperlink r:id="rId72" ref="C39"/>
    <hyperlink r:id="rId73" ref="I39"/>
    <hyperlink r:id="rId74" ref="C40"/>
    <hyperlink r:id="rId75" ref="I40"/>
    <hyperlink r:id="rId76" ref="C41"/>
    <hyperlink r:id="rId77" ref="I41"/>
    <hyperlink r:id="rId78" ref="C42"/>
    <hyperlink r:id="rId79" ref="I42"/>
    <hyperlink r:id="rId80" ref="C43"/>
    <hyperlink r:id="rId81" ref="I43"/>
    <hyperlink r:id="rId82" ref="C44"/>
    <hyperlink r:id="rId83" ref="I44"/>
    <hyperlink r:id="rId84" ref="C45"/>
    <hyperlink r:id="rId85" ref="I45"/>
    <hyperlink r:id="rId86" ref="C46"/>
    <hyperlink r:id="rId87" ref="I46"/>
    <hyperlink r:id="rId88" ref="C47"/>
    <hyperlink r:id="rId89" ref="I47"/>
    <hyperlink r:id="rId90" ref="C48"/>
    <hyperlink r:id="rId91" ref="I48"/>
    <hyperlink r:id="rId92" ref="C49"/>
    <hyperlink r:id="rId93" ref="I49"/>
    <hyperlink r:id="rId94" ref="C50"/>
    <hyperlink r:id="rId95" ref="I50"/>
    <hyperlink r:id="rId96" ref="C51"/>
    <hyperlink r:id="rId97" ref="I51"/>
    <hyperlink r:id="rId98" ref="C52"/>
    <hyperlink r:id="rId99" ref="I52"/>
    <hyperlink r:id="rId100" ref="C53"/>
    <hyperlink r:id="rId101" ref="I53"/>
    <hyperlink r:id="rId102" ref="C54"/>
    <hyperlink r:id="rId103" ref="C55"/>
    <hyperlink r:id="rId104" ref="I55"/>
    <hyperlink r:id="rId105" ref="C56"/>
    <hyperlink r:id="rId106" ref="C57"/>
    <hyperlink r:id="rId107" ref="I57"/>
    <hyperlink r:id="rId108" ref="C58"/>
    <hyperlink r:id="rId109" ref="I58"/>
    <hyperlink r:id="rId110" ref="C59"/>
    <hyperlink r:id="rId111" ref="I59"/>
    <hyperlink r:id="rId112" ref="C60"/>
    <hyperlink r:id="rId113" ref="I60"/>
    <hyperlink r:id="rId114" ref="C61"/>
    <hyperlink r:id="rId115" ref="I61"/>
    <hyperlink r:id="rId116" ref="C62"/>
    <hyperlink r:id="rId117" ref="C63"/>
    <hyperlink r:id="rId118" ref="I63"/>
    <hyperlink r:id="rId119" ref="C64"/>
    <hyperlink r:id="rId120" ref="I64"/>
    <hyperlink r:id="rId121" ref="C65"/>
    <hyperlink r:id="rId122" ref="C66"/>
    <hyperlink r:id="rId123" ref="C67"/>
    <hyperlink r:id="rId124" ref="C68"/>
    <hyperlink r:id="rId125" ref="C69"/>
    <hyperlink r:id="rId126" ref="C70"/>
    <hyperlink r:id="rId127" ref="I70"/>
    <hyperlink r:id="rId128" ref="C71"/>
    <hyperlink r:id="rId129" ref="I71"/>
    <hyperlink r:id="rId130" ref="C72"/>
    <hyperlink r:id="rId131" ref="I72"/>
    <hyperlink r:id="rId132" ref="C73"/>
    <hyperlink r:id="rId133" ref="I73"/>
    <hyperlink r:id="rId134" ref="C74"/>
    <hyperlink r:id="rId135" ref="I74"/>
    <hyperlink r:id="rId136" ref="C75"/>
    <hyperlink r:id="rId137" ref="I75"/>
    <hyperlink r:id="rId138" ref="C76"/>
    <hyperlink r:id="rId139" ref="I76"/>
    <hyperlink r:id="rId140" ref="C77"/>
    <hyperlink r:id="rId141" ref="I77"/>
    <hyperlink r:id="rId142" ref="C78"/>
    <hyperlink r:id="rId143" ref="I78"/>
    <hyperlink r:id="rId144" ref="C79"/>
    <hyperlink r:id="rId145" ref="C80"/>
    <hyperlink r:id="rId146" ref="I80"/>
    <hyperlink r:id="rId147" ref="C81"/>
    <hyperlink r:id="rId148" ref="I81"/>
    <hyperlink r:id="rId149" ref="C82"/>
    <hyperlink r:id="rId150" ref="I82"/>
    <hyperlink r:id="rId151" ref="C83"/>
    <hyperlink r:id="rId152" ref="C84"/>
    <hyperlink r:id="rId153" ref="C85"/>
    <hyperlink r:id="rId154" ref="C86"/>
    <hyperlink r:id="rId155" ref="C87"/>
    <hyperlink r:id="rId156" ref="C88"/>
    <hyperlink r:id="rId157" ref="I88"/>
    <hyperlink r:id="rId158" ref="C89"/>
  </hyperlinks>
  <drawing r:id="rId159"/>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73.5"/>
    <col customWidth="1" min="6" max="6" width="15.75"/>
    <col customWidth="1" min="7" max="7" width="30.63"/>
    <col customWidth="1" min="8" max="8" width="25.25"/>
    <col customWidth="1" min="9" max="9" width="32.38"/>
    <col customWidth="1" min="10" max="10" width="26.5"/>
  </cols>
  <sheetData>
    <row r="1">
      <c r="A1" s="1" t="str">
        <f>IFERROR(__xludf.DUMMYFUNCTION("importrange(""https://docs.google.com/spreadsheets/d/1usdHsJedjzgqECqzto9CFrIlULPK6NVVfb2ppqZ2wBE/edit#gid=1851252069"",""CE-CCI!A1:J150"")"),"TOP")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58" t="str">
        <f>IFERROR(__xludf.DUMMYFUNCTION("""COMPUTED_VALUE"""),"Top 10")</f>
        <v>Top 10</v>
      </c>
      <c r="B2" s="35" t="str">
        <f>IFERROR(__xludf.DUMMYFUNCTION("""COMPUTED_VALUE"""),"DAC")</f>
        <v>DAC</v>
      </c>
      <c r="C2" s="35" t="str">
        <f>IFERROR(__xludf.DUMMYFUNCTION("""COMPUTED_VALUE"""),"Design Automation Conference")</f>
        <v>Design Automation Conference</v>
      </c>
      <c r="D2" s="35">
        <f>IFERROR(__xludf.DUMMYFUNCTION("""COMPUTED_VALUE"""),60.0)</f>
        <v>60</v>
      </c>
      <c r="E2" s="59" t="str">
        <f>IFERROR(__xludf.DUMMYFUNCTION("""COMPUTED_VALUE"""),"https://scholar.google.com/citations?hl=pt-BR&amp;view_op=list_hcore&amp;venue=LMgtaHBu8WIJ.2024")</f>
        <v>https://scholar.google.com/citations?hl=pt-BR&amp;view_op=list_hcore&amp;venue=LMgtaHBu8WIJ.2024</v>
      </c>
      <c r="F2" s="35"/>
      <c r="H2" t="str">
        <f>IFERROR(__xludf.DUMMYFUNCTION("""COMPUTED_VALUE"""),"ACM/IEEE Design Automation Conference")</f>
        <v>ACM/IEEE Design Automation Conference</v>
      </c>
      <c r="I2" s="60" t="str">
        <f>IFERROR(__xludf.DUMMYFUNCTION("""COMPUTED_VALUE"""),"https://dblp.org/db/conf/dac/index.html")</f>
        <v>https://dblp.org/db/conf/dac/index.html</v>
      </c>
    </row>
    <row r="3">
      <c r="A3" s="58" t="str">
        <f>IFERROR(__xludf.DUMMYFUNCTION("""COMPUTED_VALUE"""),"Top 10")</f>
        <v>Top 10</v>
      </c>
      <c r="B3" s="74" t="str">
        <f>IFERROR(__xludf.DUMMYFUNCTION("""COMPUTED_VALUE"""),"ICCAD")</f>
        <v>ICCAD</v>
      </c>
      <c r="C3" s="74" t="str">
        <f>IFERROR(__xludf.DUMMYFUNCTION("""COMPUTED_VALUE"""),"IEEE/ACM International Conference on Computer-Aided Design")</f>
        <v>IEEE/ACM International Conference on Computer-Aided Design</v>
      </c>
      <c r="D3" s="75">
        <f>IFERROR(__xludf.DUMMYFUNCTION("""COMPUTED_VALUE"""),41.0)</f>
        <v>41</v>
      </c>
      <c r="E3" s="59" t="str">
        <f>IFERROR(__xludf.DUMMYFUNCTION("""COMPUTED_VALUE"""),"https://scholar.google.com/citations?hl=pt-BR&amp;vq=eng_computerhardwaredesign&amp;view_op=list_hcore&amp;venue=4CNgrChSeFwJ.2024")</f>
        <v>https://scholar.google.com/citations?hl=pt-BR&amp;vq=eng_computerhardwaredesign&amp;view_op=list_hcore&amp;venue=4CNgrChSeFwJ.2024</v>
      </c>
      <c r="F3" s="76"/>
      <c r="H3" t="str">
        <f>IFERROR(__xludf.DUMMYFUNCTION("""COMPUTED_VALUE"""),"IEEE/ACM International Conference on Computer-Aided Design")</f>
        <v>IEEE/ACM International Conference on Computer-Aided Design</v>
      </c>
      <c r="I3" s="60" t="str">
        <f>IFERROR(__xludf.DUMMYFUNCTION("""COMPUTED_VALUE"""),"https://dblp.org/db/conf/iccad/index.html")</f>
        <v>https://dblp.org/db/conf/iccad/index.html</v>
      </c>
    </row>
    <row r="4">
      <c r="A4" s="58" t="str">
        <f>IFERROR(__xludf.DUMMYFUNCTION("""COMPUTED_VALUE"""),"Top 10")</f>
        <v>Top 10</v>
      </c>
      <c r="B4" s="74" t="str">
        <f>IFERROR(__xludf.DUMMYFUNCTION("""COMPUTED_VALUE"""),"ISCAS")</f>
        <v>ISCAS</v>
      </c>
      <c r="C4" s="74" t="str">
        <f>IFERROR(__xludf.DUMMYFUNCTION("""COMPUTED_VALUE"""),"IEEE International Symposium on Circuits and Systems")</f>
        <v>IEEE International Symposium on Circuits and Systems</v>
      </c>
      <c r="D4" s="75">
        <f>IFERROR(__xludf.DUMMYFUNCTION("""COMPUTED_VALUE"""),39.0)</f>
        <v>39</v>
      </c>
      <c r="E4" s="59" t="str">
        <f>IFERROR(__xludf.DUMMYFUNCTION("""COMPUTED_VALUE"""),"https://scholar.google.com/citations?hl=pt-BR&amp;vq=eng_computerhardwaredesign&amp;view_op=list_hcore&amp;venue=V91jHpOGqs0J.2024")</f>
        <v>https://scholar.google.com/citations?hl=pt-BR&amp;vq=eng_computerhardwaredesign&amp;view_op=list_hcore&amp;venue=V91jHpOGqs0J.2024</v>
      </c>
      <c r="F4" s="76"/>
      <c r="I4" s="60" t="str">
        <f>IFERROR(__xludf.DUMMYFUNCTION("""COMPUTED_VALUE"""),"https://dblp.org/db/conf/iscas/index.html")</f>
        <v>https://dblp.org/db/conf/iscas/index.html</v>
      </c>
    </row>
    <row r="5">
      <c r="A5" s="58" t="str">
        <f>IFERROR(__xludf.DUMMYFUNCTION("""COMPUTED_VALUE"""),"Top 10")</f>
        <v>Top 10</v>
      </c>
      <c r="B5" s="74" t="str">
        <f>IFERROR(__xludf.DUMMYFUNCTION("""COMPUTED_VALUE"""),"ASP-DAC")</f>
        <v>ASP-DAC</v>
      </c>
      <c r="C5" s="74" t="str">
        <f>IFERROR(__xludf.DUMMYFUNCTION("""COMPUTED_VALUE"""),"Asia and South Pacific Design Automation Conference")</f>
        <v>Asia and South Pacific Design Automation Conference</v>
      </c>
      <c r="D5" s="75">
        <f>IFERROR(__xludf.DUMMYFUNCTION("""COMPUTED_VALUE"""),38.0)</f>
        <v>38</v>
      </c>
      <c r="E5" s="59" t="str">
        <f>IFERROR(__xludf.DUMMYFUNCTION("""COMPUTED_VALUE"""),"https://scholar.google.com/citations?hl=pt-BR&amp;vq=eng_computerhardwaredesign&amp;view_op=list_hcore&amp;venue=4OI7pMNBopQJ.2024")</f>
        <v>https://scholar.google.com/citations?hl=pt-BR&amp;vq=eng_computerhardwaredesign&amp;view_op=list_hcore&amp;venue=4OI7pMNBopQJ.2024</v>
      </c>
      <c r="F5" s="76"/>
      <c r="I5" s="60" t="str">
        <f>IFERROR(__xludf.DUMMYFUNCTION("""COMPUTED_VALUE"""),"https://dblp.org/db/conf/aspdac/index.html")</f>
        <v>https://dblp.org/db/conf/aspdac/index.html</v>
      </c>
    </row>
    <row r="6">
      <c r="A6" s="58" t="str">
        <f>IFERROR(__xludf.DUMMYFUNCTION("""COMPUTED_VALUE"""),"Top 10")</f>
        <v>Top 10</v>
      </c>
      <c r="B6" s="74" t="str">
        <f>IFERROR(__xludf.DUMMYFUNCTION("""COMPUTED_VALUE"""),"DATE")</f>
        <v>DATE</v>
      </c>
      <c r="C6" s="74" t="str">
        <f>IFERROR(__xludf.DUMMYFUNCTION("""COMPUTED_VALUE"""),"Design, Automation and Test in Europe Conference and Exhibition")</f>
        <v>Design, Automation and Test in Europe Conference and Exhibition</v>
      </c>
      <c r="D6" s="75">
        <f>IFERROR(__xludf.DUMMYFUNCTION("""COMPUTED_VALUE"""),46.0)</f>
        <v>46</v>
      </c>
      <c r="E6" s="59" t="str">
        <f>IFERROR(__xludf.DUMMYFUNCTION("""COMPUTED_VALUE"""),"https://scholar.google.com/citations?hl=pt-BR&amp;vq=eng_computerhardwaredesign&amp;view_op=list_hcore&amp;venue=cP2AyDfWCcQJ.2024")</f>
        <v>https://scholar.google.com/citations?hl=pt-BR&amp;vq=eng_computerhardwaredesign&amp;view_op=list_hcore&amp;venue=cP2AyDfWCcQJ.2024</v>
      </c>
      <c r="F6" s="76"/>
      <c r="I6" s="60" t="str">
        <f>IFERROR(__xludf.DUMMYFUNCTION("""COMPUTED_VALUE"""),"https://dblp.org/db/conf/date/index.html")</f>
        <v>https://dblp.org/db/conf/date/index.html</v>
      </c>
    </row>
    <row r="7">
      <c r="A7" s="58" t="str">
        <f>IFERROR(__xludf.DUMMYFUNCTION("""COMPUTED_VALUE"""),"Top 10")</f>
        <v>Top 10</v>
      </c>
      <c r="B7" s="74" t="str">
        <f>IFERROR(__xludf.DUMMYFUNCTION("""COMPUTED_VALUE"""),"ISPD")</f>
        <v>ISPD</v>
      </c>
      <c r="C7" s="74" t="str">
        <f>IFERROR(__xludf.DUMMYFUNCTION("""COMPUTED_VALUE"""),"International Symposium on Physical Design")</f>
        <v>International Symposium on Physical Design</v>
      </c>
      <c r="D7" s="75">
        <f>IFERROR(__xludf.DUMMYFUNCTION("""COMPUTED_VALUE"""),18.0)</f>
        <v>18</v>
      </c>
      <c r="E7" s="59" t="str">
        <f>IFERROR(__xludf.DUMMYFUNCTION("""COMPUTED_VALUE"""),"https://scholar.google.com/citations?hl=pt-BR&amp;view_op=list_hcore&amp;venue=qcCDTf9GIAMJ.2024")</f>
        <v>https://scholar.google.com/citations?hl=pt-BR&amp;view_op=list_hcore&amp;venue=qcCDTf9GIAMJ.2024</v>
      </c>
      <c r="F7" s="76"/>
      <c r="I7" s="60" t="str">
        <f>IFERROR(__xludf.DUMMYFUNCTION("""COMPUTED_VALUE"""),"https://dblp.org/db/conf/ispd/index.html")</f>
        <v>https://dblp.org/db/conf/ispd/index.html</v>
      </c>
    </row>
    <row r="8">
      <c r="A8" s="58" t="str">
        <f>IFERROR(__xludf.DUMMYFUNCTION("""COMPUTED_VALUE"""),"Top 10")</f>
        <v>Top 10</v>
      </c>
      <c r="B8" s="74" t="str">
        <f>IFERROR(__xludf.DUMMYFUNCTION("""COMPUTED_VALUE"""),"VLSI-SOC")</f>
        <v>VLSI-SOC</v>
      </c>
      <c r="C8" s="74" t="str">
        <f>IFERROR(__xludf.DUMMYFUNCTION("""COMPUTED_VALUE"""),"IEEE/IFIP International Conference on VLSI and System-on-Chip")</f>
        <v>IEEE/IFIP International Conference on VLSI and System-on-Chip</v>
      </c>
      <c r="D8" s="75">
        <f>IFERROR(__xludf.DUMMYFUNCTION("""COMPUTED_VALUE"""),13.0)</f>
        <v>13</v>
      </c>
      <c r="E8" s="59" t="str">
        <f>IFERROR(__xludf.DUMMYFUNCTION("""COMPUTED_VALUE"""),"https://scholar.google.com/citations?hl=pt-BR&amp;view_op=list_hcore&amp;venue=0lu0mPyqVXAJ.2024")</f>
        <v>https://scholar.google.com/citations?hl=pt-BR&amp;view_op=list_hcore&amp;venue=0lu0mPyqVXAJ.2024</v>
      </c>
      <c r="F8" s="76"/>
      <c r="I8" s="60" t="str">
        <f>IFERROR(__xludf.DUMMYFUNCTION("""COMPUTED_VALUE"""),"https://dblp.org/db/conf/vlsi/index.html")</f>
        <v>https://dblp.org/db/conf/vlsi/index.html</v>
      </c>
    </row>
    <row r="9">
      <c r="A9" s="58" t="str">
        <f>IFERROR(__xludf.DUMMYFUNCTION("""COMPUTED_VALUE"""),"Top 10")</f>
        <v>Top 10</v>
      </c>
      <c r="B9" s="74" t="str">
        <f>IFERROR(__xludf.DUMMYFUNCTION("""COMPUTED_VALUE"""),"LASCAS")</f>
        <v>LASCAS</v>
      </c>
      <c r="C9" s="74" t="str">
        <f>IFERROR(__xludf.DUMMYFUNCTION("""COMPUTED_VALUE"""),"IEEE Latin American Symposium on Circuits and Systems")</f>
        <v>IEEE Latin American Symposium on Circuits and Systems</v>
      </c>
      <c r="D9" s="75">
        <f>IFERROR(__xludf.DUMMYFUNCTION("""COMPUTED_VALUE"""),13.0)</f>
        <v>13</v>
      </c>
      <c r="E9" s="59" t="str">
        <f>IFERROR(__xludf.DUMMYFUNCTION("""COMPUTED_VALUE"""),"https://scholar.google.com/citations?hl=pt-BR&amp;view_op=list_hcore&amp;venue=HwA04ld57EIJ.2024")</f>
        <v>https://scholar.google.com/citations?hl=pt-BR&amp;view_op=list_hcore&amp;venue=HwA04ld57EIJ.2024</v>
      </c>
      <c r="F9" s="76"/>
      <c r="I9" s="60" t="str">
        <f>IFERROR(__xludf.DUMMYFUNCTION("""COMPUTED_VALUE"""),"https://dblp.org/db/conf/lascas/index.html")</f>
        <v>https://dblp.org/db/conf/lascas/index.html</v>
      </c>
    </row>
    <row r="10">
      <c r="A10" s="58" t="str">
        <f>IFERROR(__xludf.DUMMYFUNCTION("""COMPUTED_VALUE"""),"Top 10")</f>
        <v>Top 10</v>
      </c>
      <c r="B10" s="74" t="str">
        <f>IFERROR(__xludf.DUMMYFUNCTION("""COMPUTED_VALUE"""),"ISVLSI")</f>
        <v>ISVLSI</v>
      </c>
      <c r="C10" s="74" t="str">
        <f>IFERROR(__xludf.DUMMYFUNCTION("""COMPUTED_VALUE"""),"IEEE Computer Society Annual Symposium on VLSI")</f>
        <v>IEEE Computer Society Annual Symposium on VLSI</v>
      </c>
      <c r="D10" s="75">
        <f>IFERROR(__xludf.DUMMYFUNCTION("""COMPUTED_VALUE"""),22.0)</f>
        <v>22</v>
      </c>
      <c r="E10" s="59" t="str">
        <f>IFERROR(__xludf.DUMMYFUNCTION("""COMPUTED_VALUE"""),"https://scholar.google.com/citations?hl=pt-BR&amp;view_op=list_hcore&amp;venue=YnM0PRNMjrsJ.2024")</f>
        <v>https://scholar.google.com/citations?hl=pt-BR&amp;view_op=list_hcore&amp;venue=YnM0PRNMjrsJ.2024</v>
      </c>
      <c r="F10" s="76"/>
      <c r="I10" s="60" t="str">
        <f>IFERROR(__xludf.DUMMYFUNCTION("""COMPUTED_VALUE"""),"https://dblp.org/db/conf/isvlsi/index.html")</f>
        <v>https://dblp.org/db/conf/isvlsi/index.html</v>
      </c>
    </row>
    <row r="11">
      <c r="A11" s="58" t="str">
        <f>IFERROR(__xludf.DUMMYFUNCTION("""COMPUTED_VALUE"""),"Top 10")</f>
        <v>Top 10</v>
      </c>
      <c r="B11" s="74" t="str">
        <f>IFERROR(__xludf.DUMMYFUNCTION("""COMPUTED_VALUE"""),"ICECS")</f>
        <v>ICECS</v>
      </c>
      <c r="C11" s="74" t="str">
        <f>IFERROR(__xludf.DUMMYFUNCTION("""COMPUTED_VALUE"""),"IEEE International Conference on Electronics, Circuits and Systems")</f>
        <v>IEEE International Conference on Electronics, Circuits and Systems</v>
      </c>
      <c r="D11" s="75">
        <f>IFERROR(__xludf.DUMMYFUNCTION("""COMPUTED_VALUE"""),18.0)</f>
        <v>18</v>
      </c>
      <c r="E11" s="59" t="str">
        <f>IFERROR(__xludf.DUMMYFUNCTION("""COMPUTED_VALUE"""),"https://scholar.google.com/citations?hl=pt-BR&amp;view_op=list_hcore&amp;venue=9Io6PPD79ysJ.2024")</f>
        <v>https://scholar.google.com/citations?hl=pt-BR&amp;view_op=list_hcore&amp;venue=9Io6PPD79ysJ.2024</v>
      </c>
      <c r="F11" s="76"/>
      <c r="I11" s="60" t="str">
        <f>IFERROR(__xludf.DUMMYFUNCTION("""COMPUTED_VALUE"""),"https://dblp.org/db/conf/icecsys/index.html")</f>
        <v>https://dblp.org/db/conf/icecsys/index.html</v>
      </c>
    </row>
    <row r="12">
      <c r="A12" s="65" t="str">
        <f>IFERROR(__xludf.DUMMYFUNCTION("""COMPUTED_VALUE"""),"Top 20")</f>
        <v>Top 20</v>
      </c>
      <c r="B12" s="74" t="str">
        <f>IFERROR(__xludf.DUMMYFUNCTION("""COMPUTED_VALUE"""),"SBCCI")</f>
        <v>SBCCI</v>
      </c>
      <c r="C12" s="74" t="str">
        <f>IFERROR(__xludf.DUMMYFUNCTION("""COMPUTED_VALUE"""),"Symposium on Integrated Circuits and Systems Design")</f>
        <v>Symposium on Integrated Circuits and Systems Design</v>
      </c>
      <c r="D12" s="75">
        <f>IFERROR(__xludf.DUMMYFUNCTION("""COMPUTED_VALUE"""),10.0)</f>
        <v>10</v>
      </c>
      <c r="E12" s="59" t="str">
        <f>IFERROR(__xludf.DUMMYFUNCTION("""COMPUTED_VALUE"""),"https://scholar.google.com/citations?hl=pt-BR&amp;view_op=list_hcore&amp;venue=ce7ecw4OEFoJ.2024")</f>
        <v>https://scholar.google.com/citations?hl=pt-BR&amp;view_op=list_hcore&amp;venue=ce7ecw4OEFoJ.2024</v>
      </c>
      <c r="F12" s="76"/>
      <c r="G12" t="str">
        <f>IFERROR(__xludf.DUMMYFUNCTION("""COMPUTED_VALUE"""),"SBC/SBMicro/IEEE Symposium on Integrated Circuits and Systems Design")</f>
        <v>SBC/SBMicro/IEEE Symposium on Integrated Circuits and Systems Design</v>
      </c>
      <c r="H12" t="str">
        <f>IFERROR(__xludf.DUMMYFUNCTION("""COMPUTED_VALUE"""),"SBC/SBMicro/IEEE/ACM Symposium on Integrated Circuits and Systems Design")</f>
        <v>SBC/SBMicro/IEEE/ACM Symposium on Integrated Circuits and Systems Design</v>
      </c>
      <c r="I12" s="60" t="str">
        <f>IFERROR(__xludf.DUMMYFUNCTION("""COMPUTED_VALUE"""),"https://dblp.org/db/conf/sbcci/index.html")</f>
        <v>https://dblp.org/db/conf/sbcci/index.html</v>
      </c>
    </row>
    <row r="13">
      <c r="A13" s="65" t="str">
        <f>IFERROR(__xludf.DUMMYFUNCTION("""COMPUTED_VALUE"""),"Top 20")</f>
        <v>Top 20</v>
      </c>
      <c r="B13" s="74" t="str">
        <f>IFERROR(__xludf.DUMMYFUNCTION("""COMPUTED_VALUE"""),"ICCD")</f>
        <v>ICCD</v>
      </c>
      <c r="C13" s="74" t="str">
        <f>IFERROR(__xludf.DUMMYFUNCTION("""COMPUTED_VALUE"""),"IEEE International Conference on Computer Design")</f>
        <v>IEEE International Conference on Computer Design</v>
      </c>
      <c r="D13" s="75">
        <f>IFERROR(__xludf.DUMMYFUNCTION("""COMPUTED_VALUE"""),21.0)</f>
        <v>21</v>
      </c>
      <c r="E13" s="59" t="str">
        <f>IFERROR(__xludf.DUMMYFUNCTION("""COMPUTED_VALUE"""),"https://scholar.google.com/citations?hl=pt-BR&amp;view_op=list_hcore&amp;venue=gt4MHCWp_ckJ.2024")</f>
        <v>https://scholar.google.com/citations?hl=pt-BR&amp;view_op=list_hcore&amp;venue=gt4MHCWp_ckJ.2024</v>
      </c>
      <c r="F13" s="74"/>
      <c r="I13" s="60" t="str">
        <f>IFERROR(__xludf.DUMMYFUNCTION("""COMPUTED_VALUE"""),"https://dblp.org/db/conf/iccd/index.html")</f>
        <v>https://dblp.org/db/conf/iccd/index.html</v>
      </c>
    </row>
    <row r="14">
      <c r="A14" s="65" t="str">
        <f>IFERROR(__xludf.DUMMYFUNCTION("""COMPUTED_VALUE"""),"Top 20")</f>
        <v>Top 20</v>
      </c>
      <c r="B14" s="74" t="str">
        <f>IFERROR(__xludf.DUMMYFUNCTION("""COMPUTED_VALUE"""),"NOCS")</f>
        <v>NOCS</v>
      </c>
      <c r="C14" s="74" t="str">
        <f>IFERROR(__xludf.DUMMYFUNCTION("""COMPUTED_VALUE"""),"ACM/IEEE International Symposium on Networks-on-Chip")</f>
        <v>ACM/IEEE International Symposium on Networks-on-Chip</v>
      </c>
      <c r="D14" s="75">
        <f>IFERROR(__xludf.DUMMYFUNCTION("""COMPUTED_VALUE"""),9.0)</f>
        <v>9</v>
      </c>
      <c r="E14" s="59" t="str">
        <f>IFERROR(__xludf.DUMMYFUNCTION("""COMPUTED_VALUE"""),"https://scholar.google.com/scholar?as_q=&amp;as_epq=&amp;as_oq=&amp;as_eq=&amp;as_occt=any&amp;as_sauthors=&amp;as_publication=IEEE%2FACM+International+Symposium+on+Networks%E2%80%91on%E2%80%91Chip&amp;as_ylo=2020&amp;as_yhi=2024&amp;hl=en&amp;as_sdt=0%2C5")</f>
        <v>https://scholar.google.com/scholar?as_q=&amp;as_epq=&amp;as_oq=&amp;as_eq=&amp;as_occt=any&amp;as_sauthors=&amp;as_publication=IEEE%2FACM+International+Symposium+on+Networks%E2%80%91on%E2%80%91Chip&amp;as_ylo=2020&amp;as_yhi=2024&amp;hl=en&amp;as_sdt=0%2C5</v>
      </c>
      <c r="F14" s="74"/>
      <c r="G14" t="str">
        <f>IFERROR(__xludf.DUMMYFUNCTION("""COMPUTED_VALUE"""),"IEEE/ACM International Symposium on Networks‑on‑Chip")</f>
        <v>IEEE/ACM International Symposium on Networks‑on‑Chip</v>
      </c>
      <c r="I14" s="60" t="str">
        <f>IFERROR(__xludf.DUMMYFUNCTION("""COMPUTED_VALUE"""),"https://dblp.org/db/conf/vlsi/index.html")</f>
        <v>https://dblp.org/db/conf/vlsi/index.html</v>
      </c>
    </row>
    <row r="15">
      <c r="A15" s="65" t="str">
        <f>IFERROR(__xludf.DUMMYFUNCTION("""COMPUTED_VALUE"""),"Top 20")</f>
        <v>Top 20</v>
      </c>
      <c r="B15" s="74" t="str">
        <f>IFERROR(__xludf.DUMMYFUNCTION("""COMPUTED_VALUE"""),"LATS")</f>
        <v>LATS</v>
      </c>
      <c r="C15" s="74" t="str">
        <f>IFERROR(__xludf.DUMMYFUNCTION("""COMPUTED_VALUE"""),"Latin American Test Symposium")</f>
        <v>Latin American Test Symposium</v>
      </c>
      <c r="D15" s="75">
        <f>IFERROR(__xludf.DUMMYFUNCTION("""COMPUTED_VALUE"""),9.0)</f>
        <v>9</v>
      </c>
      <c r="E15" s="59" t="str">
        <f>IFERROR(__xludf.DUMMYFUNCTION("""COMPUTED_VALUE"""),"https://scholar.google.com/citations?hl=pt-BR&amp;view_op=list_hcore&amp;venue=IdSNHXeKP5gJ.2024")</f>
        <v>https://scholar.google.com/citations?hl=pt-BR&amp;view_op=list_hcore&amp;venue=IdSNHXeKP5gJ.2024</v>
      </c>
      <c r="F15" s="76"/>
      <c r="G15" t="str">
        <f>IFERROR(__xludf.DUMMYFUNCTION("""COMPUTED_VALUE"""),"IEEE Latin American Test Symposium")</f>
        <v>IEEE Latin American Test Symposium</v>
      </c>
      <c r="H15" t="str">
        <f>IFERROR(__xludf.DUMMYFUNCTION("""COMPUTED_VALUE"""),"IEEE Latin-American Test Symposium")</f>
        <v>IEEE Latin-American Test Symposium</v>
      </c>
      <c r="I15" s="60" t="str">
        <f>IFERROR(__xludf.DUMMYFUNCTION("""COMPUTED_VALUE"""),"https://dblp.org/db/conf/latw/index.html")</f>
        <v>https://dblp.org/db/conf/latw/index.html</v>
      </c>
    </row>
    <row r="16">
      <c r="A16" s="65" t="str">
        <f>IFERROR(__xludf.DUMMYFUNCTION("""COMPUTED_VALUE"""),"Top 20")</f>
        <v>Top 20</v>
      </c>
      <c r="B16" s="74" t="str">
        <f>IFERROR(__xludf.DUMMYFUNCTION("""COMPUTED_VALUE"""),"MWSCAS")</f>
        <v>MWSCAS</v>
      </c>
      <c r="C16" s="74" t="str">
        <f>IFERROR(__xludf.DUMMYFUNCTION("""COMPUTED_VALUE"""),"IEEE International Midwest Symposium on Circuits and Systems")</f>
        <v>IEEE International Midwest Symposium on Circuits and Systems</v>
      </c>
      <c r="D16" s="75">
        <f>IFERROR(__xludf.DUMMYFUNCTION("""COMPUTED_VALUE"""),20.0)</f>
        <v>20</v>
      </c>
      <c r="E16" s="59" t="str">
        <f>IFERROR(__xludf.DUMMYFUNCTION("""COMPUTED_VALUE"""),"https://scholar.google.com/citations?hl=pt-BR&amp;view_op=list_hcore&amp;venue=IKwP_BZwq3kJ.2024")</f>
        <v>https://scholar.google.com/citations?hl=pt-BR&amp;view_op=list_hcore&amp;venue=IKwP_BZwq3kJ.2024</v>
      </c>
      <c r="F16" s="76"/>
      <c r="I16" s="60" t="str">
        <f>IFERROR(__xludf.DUMMYFUNCTION("""COMPUTED_VALUE"""),"https://dblp.org/db/conf/mwscas/index.html")</f>
        <v>https://dblp.org/db/conf/mwscas/index.html</v>
      </c>
    </row>
    <row r="17">
      <c r="A17" s="65" t="str">
        <f>IFERROR(__xludf.DUMMYFUNCTION("""COMPUTED_VALUE"""),"Top 20")</f>
        <v>Top 20</v>
      </c>
      <c r="B17" s="74" t="str">
        <f>IFERROR(__xludf.DUMMYFUNCTION("""COMPUTED_VALUE"""),"NEWCAS")</f>
        <v>NEWCAS</v>
      </c>
      <c r="C17" s="74" t="str">
        <f>IFERROR(__xludf.DUMMYFUNCTION("""COMPUTED_VALUE"""),"International New Circuits and Systems Conference")</f>
        <v>International New Circuits and Systems Conference</v>
      </c>
      <c r="D17" s="75">
        <f>IFERROR(__xludf.DUMMYFUNCTION("""COMPUTED_VALUE"""),11.0)</f>
        <v>11</v>
      </c>
      <c r="E17" s="59" t="str">
        <f>IFERROR(__xludf.DUMMYFUNCTION("""COMPUTED_VALUE"""),"https://scholar.google.com/citations?hl=pt-BR&amp;view_op=list_hcore&amp;venue=lCK4wgZQRSUJ.2024")</f>
        <v>https://scholar.google.com/citations?hl=pt-BR&amp;view_op=list_hcore&amp;venue=lCK4wgZQRSUJ.2024</v>
      </c>
      <c r="F17" s="76"/>
      <c r="I17" s="60" t="str">
        <f>IFERROR(__xludf.DUMMYFUNCTION("""COMPUTED_VALUE"""),"https://dblp.org/db/conf/newcas/index.html")</f>
        <v>https://dblp.org/db/conf/newcas/index.html</v>
      </c>
    </row>
    <row r="18">
      <c r="A18" s="65" t="str">
        <f>IFERROR(__xludf.DUMMYFUNCTION("""COMPUTED_VALUE"""),"Top 20")</f>
        <v>Top 20</v>
      </c>
      <c r="B18" s="74" t="str">
        <f>IFERROR(__xludf.DUMMYFUNCTION("""COMPUTED_VALUE"""),"IEEE NANO")</f>
        <v>IEEE NANO</v>
      </c>
      <c r="C18" s="74" t="str">
        <f>IFERROR(__xludf.DUMMYFUNCTION("""COMPUTED_VALUE"""),"IEEE Conference on Nanotechnology")</f>
        <v>IEEE Conference on Nanotechnology</v>
      </c>
      <c r="D18" s="75">
        <f>IFERROR(__xludf.DUMMYFUNCTION("""COMPUTED_VALUE"""),10.0)</f>
        <v>10</v>
      </c>
      <c r="E18" s="59" t="str">
        <f>IFERROR(__xludf.DUMMYFUNCTION("""COMPUTED_VALUE"""),"https://scholar.google.com/citations?hl=pt-BR&amp;view_op=list_hcore&amp;venue=q_zVL_Uah5UJ.2024")</f>
        <v>https://scholar.google.com/citations?hl=pt-BR&amp;view_op=list_hcore&amp;venue=q_zVL_Uah5UJ.2024</v>
      </c>
      <c r="F18" s="76"/>
    </row>
    <row r="19">
      <c r="A19" s="65" t="str">
        <f>IFERROR(__xludf.DUMMYFUNCTION("""COMPUTED_VALUE"""),"Top 20")</f>
        <v>Top 20</v>
      </c>
      <c r="B19" s="74" t="str">
        <f>IFERROR(__xludf.DUMMYFUNCTION("""COMPUTED_VALUE"""),"DSD")</f>
        <v>DSD</v>
      </c>
      <c r="C19" s="74" t="str">
        <f>IFERROR(__xludf.DUMMYFUNCTION("""COMPUTED_VALUE"""),"Euromicro Conference on Digital System Design, Architectures, Methods and Tools")</f>
        <v>Euromicro Conference on Digital System Design, Architectures, Methods and Tools</v>
      </c>
      <c r="D19" s="75">
        <f>IFERROR(__xludf.DUMMYFUNCTION("""COMPUTED_VALUE"""),18.0)</f>
        <v>18</v>
      </c>
      <c r="E19" s="59" t="str">
        <f>IFERROR(__xludf.DUMMYFUNCTION("""COMPUTED_VALUE"""),"https://scholar.google.com/citations?hl=pt-BR&amp;view_op=list_hcore&amp;venue=42wcJhr2yF0J.2024")</f>
        <v>https://scholar.google.com/citations?hl=pt-BR&amp;view_op=list_hcore&amp;venue=42wcJhr2yF0J.2024</v>
      </c>
      <c r="F19" s="76"/>
      <c r="G19" t="str">
        <f>IFERROR(__xludf.DUMMYFUNCTION("""COMPUTED_VALUE"""),"Euromicro Conference Series on Digital System Design")</f>
        <v>Euromicro Conference Series on Digital System Design</v>
      </c>
      <c r="H19" t="str">
        <f>IFERROR(__xludf.DUMMYFUNCTION("""COMPUTED_VALUE"""),"Euromicro Conference on Digital System Design, Architectures, Methods and Tools, DSD")</f>
        <v>Euromicro Conference on Digital System Design, Architectures, Methods and Tools, DSD</v>
      </c>
      <c r="I19" s="60" t="str">
        <f>IFERROR(__xludf.DUMMYFUNCTION("""COMPUTED_VALUE"""),"https://dblp.org/db/conf/dsd/index.html")</f>
        <v>https://dblp.org/db/conf/dsd/index.html</v>
      </c>
    </row>
    <row r="20">
      <c r="A20" s="65" t="str">
        <f>IFERROR(__xludf.DUMMYFUNCTION("""COMPUTED_VALUE"""),"Top 20")</f>
        <v>Top 20</v>
      </c>
      <c r="B20" s="74" t="str">
        <f>IFERROR(__xludf.DUMMYFUNCTION("""COMPUTED_VALUE"""),"FPGA")</f>
        <v>FPGA</v>
      </c>
      <c r="C20" s="74" t="str">
        <f>IFERROR(__xludf.DUMMYFUNCTION("""COMPUTED_VALUE"""),"Symposium on Field Programmable Gate Arrays")</f>
        <v>Symposium on Field Programmable Gate Arrays</v>
      </c>
      <c r="D20" s="75">
        <f>IFERROR(__xludf.DUMMYFUNCTION("""COMPUTED_VALUE"""),40.0)</f>
        <v>40</v>
      </c>
      <c r="E20" s="59" t="str">
        <f>IFERROR(__xludf.DUMMYFUNCTION("""COMPUTED_VALUE"""),"https://scholar.google.com/citations?hl=pt-BR&amp;view_op=list_hcore&amp;venue=X39h_ye2QL4J.2024")</f>
        <v>https://scholar.google.com/citations?hl=pt-BR&amp;view_op=list_hcore&amp;venue=X39h_ye2QL4J.2024</v>
      </c>
      <c r="F20" s="76" t="str">
        <f>IFERROR(__xludf.DUMMYFUNCTION("""COMPUTED_VALUE"""),"ISFPGA")</f>
        <v>ISFPGA</v>
      </c>
      <c r="G20" t="str">
        <f>IFERROR(__xludf.DUMMYFUNCTION("""COMPUTED_VALUE"""),"International Symposium on Field Programmable Gate Arrays")</f>
        <v>International Symposium on Field Programmable Gate Arrays</v>
      </c>
      <c r="H20" t="str">
        <f>IFERROR(__xludf.DUMMYFUNCTION("""COMPUTED_VALUE"""),"ACM/SIGDA International Symposium on Field Programmable Gate Arrays")</f>
        <v>ACM/SIGDA International Symposium on Field Programmable Gate Arrays</v>
      </c>
      <c r="I20" s="60" t="str">
        <f>IFERROR(__xludf.DUMMYFUNCTION("""COMPUTED_VALUE"""),"https://dblp.org/db/conf/fpga/index.html")</f>
        <v>https://dblp.org/db/conf/fpga/index.html</v>
      </c>
    </row>
    <row r="21">
      <c r="A21" s="65" t="str">
        <f>IFERROR(__xludf.DUMMYFUNCTION("""COMPUTED_VALUE"""),"Top 20")</f>
        <v>Top 20</v>
      </c>
      <c r="B21" s="74" t="str">
        <f>IFERROR(__xludf.DUMMYFUNCTION("""COMPUTED_VALUE"""),"ASYNC")</f>
        <v>ASYNC</v>
      </c>
      <c r="C21" s="74" t="str">
        <f>IFERROR(__xludf.DUMMYFUNCTION("""COMPUTED_VALUE"""),"Symposium on Asynchronous Circuits and Systems")</f>
        <v>Symposium on Asynchronous Circuits and Systems</v>
      </c>
      <c r="D21" s="75">
        <f>IFERROR(__xludf.DUMMYFUNCTION("""COMPUTED_VALUE"""),8.0)</f>
        <v>8</v>
      </c>
      <c r="E21" s="59" t="str">
        <f>IFERROR(__xludf.DUMMYFUNCTION("""COMPUTED_VALUE"""),"https://scholar.google.com/scholar?as_q=&amp;as_epq=&amp;as_oq=&amp;as_eq=&amp;as_occt=any&amp;as_sauthors=&amp;as_publication=Symposium+on+Asynchronous+Circuits+and+Systems&amp;as_ylo=2020&amp;as_yhi=2024&amp;hl=en&amp;as_sdt=0%2C5")</f>
        <v>https://scholar.google.com/scholar?as_q=&amp;as_epq=&amp;as_oq=&amp;as_eq=&amp;as_occt=any&amp;as_sauthors=&amp;as_publication=Symposium+on+Asynchronous+Circuits+and+Systems&amp;as_ylo=2020&amp;as_yhi=2024&amp;hl=en&amp;as_sdt=0%2C5</v>
      </c>
      <c r="F21" s="76"/>
      <c r="G21" t="str">
        <f>IFERROR(__xludf.DUMMYFUNCTION("""COMPUTED_VALUE"""),"International Symposium on Asynchronous Circuits and Systems")</f>
        <v>International Symposium on Asynchronous Circuits and Systems</v>
      </c>
      <c r="H21" t="str">
        <f>IFERROR(__xludf.DUMMYFUNCTION("""COMPUTED_VALUE"""),"IEEE International Symposium on Asynchronous Circuits and Systems")</f>
        <v>IEEE International Symposium on Asynchronous Circuits and Systems</v>
      </c>
      <c r="I21" s="60" t="str">
        <f>IFERROR(__xludf.DUMMYFUNCTION("""COMPUTED_VALUE"""),"https://dblp.org/db/conf/async/index.html")</f>
        <v>https://dblp.org/db/conf/async/index.html</v>
      </c>
    </row>
    <row r="22">
      <c r="A22" s="68" t="str">
        <f>IFERROR(__xludf.DUMMYFUNCTION("""COMPUTED_VALUE"""),"Eventos da Área")</f>
        <v>Eventos da Área</v>
      </c>
      <c r="B22" s="74" t="str">
        <f>IFERROR(__xludf.DUMMYFUNCTION("""COMPUTED_VALUE"""),"SBMicro")</f>
        <v>SBMicro</v>
      </c>
      <c r="C22" s="74" t="str">
        <f>IFERROR(__xludf.DUMMYFUNCTION("""COMPUTED_VALUE"""),"Symposium on Microelectronics Technology and Devices")</f>
        <v>Symposium on Microelectronics Technology and Devices</v>
      </c>
      <c r="D22" s="75">
        <f>IFERROR(__xludf.DUMMYFUNCTION("""COMPUTED_VALUE"""),6.0)</f>
        <v>6</v>
      </c>
      <c r="E22" s="59" t="str">
        <f>IFERROR(__xludf.DUMMYFUNCTION("""COMPUTED_VALUE"""),"https://scholar.google.com/citations?hl=pt-BR&amp;view_op=list_hcore&amp;venue=9giMOactGh8J.2024")</f>
        <v>https://scholar.google.com/citations?hl=pt-BR&amp;view_op=list_hcore&amp;venue=9giMOactGh8J.2024</v>
      </c>
      <c r="F22" s="76"/>
    </row>
    <row r="23">
      <c r="A23" s="68" t="str">
        <f>IFERROR(__xludf.DUMMYFUNCTION("""COMPUTED_VALUE"""),"Eventos da Área")</f>
        <v>Eventos da Área</v>
      </c>
      <c r="B23" s="74" t="str">
        <f>IFERROR(__xludf.DUMMYFUNCTION("""COMPUTED_VALUE"""),"FPL")</f>
        <v>FPL</v>
      </c>
      <c r="C23" s="74" t="str">
        <f>IFERROR(__xludf.DUMMYFUNCTION("""COMPUTED_VALUE"""),"International Conference on Field Programmable Logic and Applications")</f>
        <v>International Conference on Field Programmable Logic and Applications</v>
      </c>
      <c r="D23" s="76">
        <f>IFERROR(__xludf.DUMMYFUNCTION("""COMPUTED_VALUE"""),28.0)</f>
        <v>28</v>
      </c>
      <c r="E23" s="59" t="str">
        <f>IFERROR(__xludf.DUMMYFUNCTION("""COMPUTED_VALUE"""),"https://scholar.google.com/citations?hl=pt-BR&amp;view_op=list_hcore&amp;venue=7JfwVbgjkZUJ.2024")</f>
        <v>https://scholar.google.com/citations?hl=pt-BR&amp;view_op=list_hcore&amp;venue=7JfwVbgjkZUJ.2024</v>
      </c>
      <c r="F23" s="74"/>
      <c r="I23" s="60" t="str">
        <f>IFERROR(__xludf.DUMMYFUNCTION("""COMPUTED_VALUE"""),"https://dblp.org/db/conf/fpl/index.html")</f>
        <v>https://dblp.org/db/conf/fpl/index.html</v>
      </c>
    </row>
    <row r="24">
      <c r="A24" s="68" t="str">
        <f>IFERROR(__xludf.DUMMYFUNCTION("""COMPUTED_VALUE"""),"Eventos da Área")</f>
        <v>Eventos da Área</v>
      </c>
      <c r="B24" s="74" t="str">
        <f>IFERROR(__xludf.DUMMYFUNCTION("""COMPUTED_VALUE"""),"ISLPED")</f>
        <v>ISLPED</v>
      </c>
      <c r="C24" s="74" t="str">
        <f>IFERROR(__xludf.DUMMYFUNCTION("""COMPUTED_VALUE"""),"ACM/IEEE International Symposium on Low Power Electronics and Design")</f>
        <v>ACM/IEEE International Symposium on Low Power Electronics and Design</v>
      </c>
      <c r="D24" s="76">
        <f>IFERROR(__xludf.DUMMYFUNCTION("""COMPUTED_VALUE"""),21.0)</f>
        <v>21</v>
      </c>
      <c r="E24" s="59" t="str">
        <f>IFERROR(__xludf.DUMMYFUNCTION("""COMPUTED_VALUE"""),"https://scholar.google.com/citations?hl=pt-BR&amp;view_op=list_hcore&amp;venue=NoKVsOmGgEMJ.2024")</f>
        <v>https://scholar.google.com/citations?hl=pt-BR&amp;view_op=list_hcore&amp;venue=NoKVsOmGgEMJ.2024</v>
      </c>
      <c r="F24" s="76"/>
      <c r="I24" s="60" t="str">
        <f>IFERROR(__xludf.DUMMYFUNCTION("""COMPUTED_VALUE"""),"https://dblp.org/db/conf/islped/index.html")</f>
        <v>https://dblp.org/db/conf/islped/index.html</v>
      </c>
    </row>
    <row r="25">
      <c r="A25" s="68" t="str">
        <f>IFERROR(__xludf.DUMMYFUNCTION("""COMPUTED_VALUE"""),"Eventos da Área")</f>
        <v>Eventos da Área</v>
      </c>
      <c r="B25" s="74" t="str">
        <f>IFERROR(__xludf.DUMMYFUNCTION("""COMPUTED_VALUE"""),"CICC")</f>
        <v>CICC</v>
      </c>
      <c r="C25" s="77" t="str">
        <f>IFERROR(__xludf.DUMMYFUNCTION("""COMPUTED_VALUE"""),"IEEE Custom Integrated Circuits Conference")</f>
        <v>IEEE Custom Integrated Circuits Conference</v>
      </c>
      <c r="D25" s="75">
        <f>IFERROR(__xludf.DUMMYFUNCTION("""COMPUTED_VALUE"""),26.0)</f>
        <v>26</v>
      </c>
      <c r="E25" s="59" t="str">
        <f>IFERROR(__xludf.DUMMYFUNCTION("""COMPUTED_VALUE"""),"https://scholar.google.com/citations?hl=pt-BR&amp;view_op=list_hcore&amp;venue=yHnzH6ndKgwJ.2024")</f>
        <v>https://scholar.google.com/citations?hl=pt-BR&amp;view_op=list_hcore&amp;venue=yHnzH6ndKgwJ.2024</v>
      </c>
      <c r="F25" s="76"/>
      <c r="I25" s="60" t="str">
        <f>IFERROR(__xludf.DUMMYFUNCTION("""COMPUTED_VALUE"""),"https://dblp.org/db/conf/cicc/index.html")</f>
        <v>https://dblp.org/db/conf/cicc/index.html</v>
      </c>
    </row>
    <row r="26">
      <c r="A26" s="68" t="str">
        <f>IFERROR(__xludf.DUMMYFUNCTION("""COMPUTED_VALUE"""),"Eventos da Área")</f>
        <v>Eventos da Área</v>
      </c>
      <c r="B26" s="74" t="str">
        <f>IFERROR(__xludf.DUMMYFUNCTION("""COMPUTED_VALUE"""),"ESSCIRC")</f>
        <v>ESSCIRC</v>
      </c>
      <c r="C26" s="74" t="str">
        <f>IFERROR(__xludf.DUMMYFUNCTION("""COMPUTED_VALUE"""),"European Solid State Circuits Conference")</f>
        <v>European Solid State Circuits Conference</v>
      </c>
      <c r="D26" s="75">
        <f>IFERROR(__xludf.DUMMYFUNCTION("""COMPUTED_VALUE"""),21.0)</f>
        <v>21</v>
      </c>
      <c r="E26" s="59" t="str">
        <f>IFERROR(__xludf.DUMMYFUNCTION("""COMPUTED_VALUE"""),"https://scholar.google.com/citations?hl=pt-BR&amp;view_op=list_hcore&amp;venue=rIvU5DZe6gMJ.2024")</f>
        <v>https://scholar.google.com/citations?hl=pt-BR&amp;view_op=list_hcore&amp;venue=rIvU5DZe6gMJ.2024</v>
      </c>
      <c r="F26" s="76"/>
      <c r="I26" s="60" t="str">
        <f>IFERROR(__xludf.DUMMYFUNCTION("""COMPUTED_VALUE"""),"https://dblp.org/db/conf/esscirc/index.html")</f>
        <v>https://dblp.org/db/conf/esscirc/index.html</v>
      </c>
    </row>
    <row r="27">
      <c r="A27" s="68" t="str">
        <f>IFERROR(__xludf.DUMMYFUNCTION("""COMPUTED_VALUE"""),"Eventos da Área")</f>
        <v>Eventos da Área</v>
      </c>
      <c r="B27" s="74" t="str">
        <f>IFERROR(__xludf.DUMMYFUNCTION("""COMPUTED_VALUE"""),"APCCAS")</f>
        <v>APCCAS</v>
      </c>
      <c r="C27" s="74" t="str">
        <f>IFERROR(__xludf.DUMMYFUNCTION("""COMPUTED_VALUE"""),"IEEE Asia Pacific Conference on Circuits and Systems")</f>
        <v>IEEE Asia Pacific Conference on Circuits and Systems</v>
      </c>
      <c r="D27" s="75">
        <f>IFERROR(__xludf.DUMMYFUNCTION("""COMPUTED_VALUE"""),12.0)</f>
        <v>12</v>
      </c>
      <c r="E27" s="59" t="str">
        <f>IFERROR(__xludf.DUMMYFUNCTION("""COMPUTED_VALUE"""),"https://scholar.google.com/citations?hl=pt-BR&amp;view_op=list_hcore&amp;venue=iPNrzhpu_IoJ.2024")</f>
        <v>https://scholar.google.com/citations?hl=pt-BR&amp;view_op=list_hcore&amp;venue=iPNrzhpu_IoJ.2024</v>
      </c>
      <c r="F27" s="76"/>
      <c r="I27" s="60" t="str">
        <f>IFERROR(__xludf.DUMMYFUNCTION("""COMPUTED_VALUE"""),"https://dblp.org/db/conf/apccas/index.html")</f>
        <v>https://dblp.org/db/conf/apccas/index.html</v>
      </c>
    </row>
    <row r="28">
      <c r="A28" s="68" t="str">
        <f>IFERROR(__xludf.DUMMYFUNCTION("""COMPUTED_VALUE"""),"Eventos da Área")</f>
        <v>Eventos da Área</v>
      </c>
      <c r="B28" s="74" t="str">
        <f>IFERROR(__xludf.DUMMYFUNCTION("""COMPUTED_VALUE"""),"RADECS")</f>
        <v>RADECS</v>
      </c>
      <c r="C28" s="74" t="str">
        <f>IFERROR(__xludf.DUMMYFUNCTION("""COMPUTED_VALUE"""),"European Conference on Radiation and Its Effects on Components and Systems")</f>
        <v>European Conference on Radiation and Its Effects on Components and Systems</v>
      </c>
      <c r="D28" s="75">
        <f>IFERROR(__xludf.DUMMYFUNCTION("""COMPUTED_VALUE"""),6.0)</f>
        <v>6</v>
      </c>
      <c r="E28" s="59" t="str">
        <f>IFERROR(__xludf.DUMMYFUNCTION("""COMPUTED_VALUE"""),"https://scholar.google.com/citations?hl=pt-BR&amp;view_op=list_hcore&amp;venue=PCzjXRB5L8YJ.2024")</f>
        <v>https://scholar.google.com/citations?hl=pt-BR&amp;view_op=list_hcore&amp;venue=PCzjXRB5L8YJ.2024</v>
      </c>
      <c r="F28" s="76"/>
    </row>
    <row r="29">
      <c r="A29" s="68" t="str">
        <f>IFERROR(__xludf.DUMMYFUNCTION("""COMPUTED_VALUE"""),"Eventos da Área")</f>
        <v>Eventos da Área</v>
      </c>
      <c r="B29" s="74" t="str">
        <f>IFERROR(__xludf.DUMMYFUNCTION("""COMPUTED_VALUE"""),"ISQED")</f>
        <v>ISQED</v>
      </c>
      <c r="C29" s="74" t="str">
        <f>IFERROR(__xludf.DUMMYFUNCTION("""COMPUTED_VALUE"""),"International Symposium on Quality Electronic Design")</f>
        <v>International Symposium on Quality Electronic Design</v>
      </c>
      <c r="D29" s="75">
        <f>IFERROR(__xludf.DUMMYFUNCTION("""COMPUTED_VALUE"""),21.0)</f>
        <v>21</v>
      </c>
      <c r="E29" s="59" t="str">
        <f>IFERROR(__xludf.DUMMYFUNCTION("""COMPUTED_VALUE"""),"https://scholar.google.com/citations?hl=pt-BR&amp;view_op=list_hcore&amp;venue=CAKBHPJLxuMJ.2024")</f>
        <v>https://scholar.google.com/citations?hl=pt-BR&amp;view_op=list_hcore&amp;venue=CAKBHPJLxuMJ.2024</v>
      </c>
      <c r="F29" s="76"/>
      <c r="I29" s="60" t="str">
        <f>IFERROR(__xludf.DUMMYFUNCTION("""COMPUTED_VALUE"""),"https://dblp.org/db/conf/isqed/index.html")</f>
        <v>https://dblp.org/db/conf/isqed/index.html</v>
      </c>
    </row>
    <row r="30">
      <c r="A30" s="68" t="str">
        <f>IFERROR(__xludf.DUMMYFUNCTION("""COMPUTED_VALUE"""),"Eventos da Área")</f>
        <v>Eventos da Área</v>
      </c>
      <c r="B30" s="74" t="str">
        <f>IFERROR(__xludf.DUMMYFUNCTION("""COMPUTED_VALUE"""),"VTS")</f>
        <v>VTS</v>
      </c>
      <c r="C30" s="74" t="str">
        <f>IFERROR(__xludf.DUMMYFUNCTION("""COMPUTED_VALUE"""),"VLSI Test Symposium")</f>
        <v>VLSI Test Symposium</v>
      </c>
      <c r="D30" s="75">
        <f>IFERROR(__xludf.DUMMYFUNCTION("""COMPUTED_VALUE"""),18.0)</f>
        <v>18</v>
      </c>
      <c r="E30" s="59" t="str">
        <f>IFERROR(__xludf.DUMMYFUNCTION("""COMPUTED_VALUE"""),"https://scholar.google.com/citations?hl=pt-BR&amp;view_op=list_hcore&amp;venue=JTdOipGTjv4J.2024")</f>
        <v>https://scholar.google.com/citations?hl=pt-BR&amp;view_op=list_hcore&amp;venue=JTdOipGTjv4J.2024</v>
      </c>
      <c r="F30" s="76"/>
      <c r="I30" s="60" t="str">
        <f>IFERROR(__xludf.DUMMYFUNCTION("""COMPUTED_VALUE"""),"https://dblp.org/db/conf/vts/index.html")</f>
        <v>https://dblp.org/db/conf/vts/index.html</v>
      </c>
    </row>
    <row r="31">
      <c r="A31" s="68" t="str">
        <f>IFERROR(__xludf.DUMMYFUNCTION("""COMPUTED_VALUE"""),"Eventos da Área")</f>
        <v>Eventos da Área</v>
      </c>
      <c r="B31" s="74" t="str">
        <f>IFERROR(__xludf.DUMMYFUNCTION("""COMPUTED_VALUE"""),"DSP")</f>
        <v>DSP</v>
      </c>
      <c r="C31" s="74" t="str">
        <f>IFERROR(__xludf.DUMMYFUNCTION("""COMPUTED_VALUE"""),"International Conference on Digital Signal Processing")</f>
        <v>International Conference on Digital Signal Processing</v>
      </c>
      <c r="D31" s="75">
        <f>IFERROR(__xludf.DUMMYFUNCTION("""COMPUTED_VALUE"""),7.0)</f>
        <v>7</v>
      </c>
      <c r="E31" s="59" t="str">
        <f>IFERROR(__xludf.DUMMYFUNCTION("""COMPUTED_VALUE"""),"https://scholar.google.com/citations?hl=pt-BR&amp;view_op=list_hcore&amp;venue=aJnwgzbfDTUJ.2024")</f>
        <v>https://scholar.google.com/citations?hl=pt-BR&amp;view_op=list_hcore&amp;venue=aJnwgzbfDTUJ.2024</v>
      </c>
      <c r="F31" s="76"/>
      <c r="I31" s="60" t="str">
        <f>IFERROR(__xludf.DUMMYFUNCTION("""COMPUTED_VALUE"""),"https://dblp.org/db/conf/icdsp/index.html")</f>
        <v>https://dblp.org/db/conf/icdsp/index.html</v>
      </c>
    </row>
    <row r="32">
      <c r="A32" s="68" t="str">
        <f>IFERROR(__xludf.DUMMYFUNCTION("""COMPUTED_VALUE"""),"Eventos da Área")</f>
        <v>Eventos da Área</v>
      </c>
      <c r="B32" s="74" t="str">
        <f>IFERROR(__xludf.DUMMYFUNCTION("""COMPUTED_VALUE"""),"ESSDERC")</f>
        <v>ESSDERC</v>
      </c>
      <c r="C32" s="74" t="str">
        <f>IFERROR(__xludf.DUMMYFUNCTION("""COMPUTED_VALUE"""),"European Solid State Device Research Conference")</f>
        <v>European Solid State Device Research Conference</v>
      </c>
      <c r="D32" s="75">
        <f>IFERROR(__xludf.DUMMYFUNCTION("""COMPUTED_VALUE"""),14.0)</f>
        <v>14</v>
      </c>
      <c r="E32" s="59" t="str">
        <f>IFERROR(__xludf.DUMMYFUNCTION("""COMPUTED_VALUE"""),"https://scholar.google.com/citations?hl=pt-BR&amp;view_op=list_hcore&amp;venue=u1sD_y1HdVYJ.2024")</f>
        <v>https://scholar.google.com/citations?hl=pt-BR&amp;view_op=list_hcore&amp;venue=u1sD_y1HdVYJ.2024</v>
      </c>
      <c r="F32" s="76"/>
      <c r="I32" s="60" t="str">
        <f>IFERROR(__xludf.DUMMYFUNCTION("""COMPUTED_VALUE"""),"https://dblp.org/db/conf/essderc/index.html")</f>
        <v>https://dblp.org/db/conf/essderc/index.html</v>
      </c>
    </row>
    <row r="33">
      <c r="A33" s="68" t="str">
        <f>IFERROR(__xludf.DUMMYFUNCTION("""COMPUTED_VALUE"""),"Eventos da Área")</f>
        <v>Eventos da Área</v>
      </c>
      <c r="B33" s="74" t="str">
        <f>IFERROR(__xludf.DUMMYFUNCTION("""COMPUTED_VALUE"""),"GLSVLSI")</f>
        <v>GLSVLSI</v>
      </c>
      <c r="C33" s="74" t="str">
        <f>IFERROR(__xludf.DUMMYFUNCTION("""COMPUTED_VALUE"""),"Great Lakes Symposium on VLSI")</f>
        <v>Great Lakes Symposium on VLSI</v>
      </c>
      <c r="D33" s="75">
        <f>IFERROR(__xludf.DUMMYFUNCTION("""COMPUTED_VALUE"""),26.0)</f>
        <v>26</v>
      </c>
      <c r="E33" s="59" t="str">
        <f>IFERROR(__xludf.DUMMYFUNCTION("""COMPUTED_VALUE"""),"https://scholar.google.com/citations?hl=pt-BR&amp;view_op=list_hcore&amp;venue=pmoNNwZxCvUJ.2024")</f>
        <v>https://scholar.google.com/citations?hl=pt-BR&amp;view_op=list_hcore&amp;venue=pmoNNwZxCvUJ.2024</v>
      </c>
      <c r="F33" s="76"/>
      <c r="I33" s="60" t="str">
        <f>IFERROR(__xludf.DUMMYFUNCTION("""COMPUTED_VALUE"""),"https://dblp.org/db/conf/glvlsi/index.html")</f>
        <v>https://dblp.org/db/conf/glvlsi/index.html</v>
      </c>
    </row>
    <row r="34">
      <c r="A34" s="68" t="str">
        <f>IFERROR(__xludf.DUMMYFUNCTION("""COMPUTED_VALUE"""),"Eventos da Área")</f>
        <v>Eventos da Área</v>
      </c>
      <c r="B34" s="74" t="str">
        <f>IFERROR(__xludf.DUMMYFUNCTION("""COMPUTED_VALUE"""),"IOLTS")</f>
        <v>IOLTS</v>
      </c>
      <c r="C34" s="74" t="str">
        <f>IFERROR(__xludf.DUMMYFUNCTION("""COMPUTED_VALUE"""),"IEEE International On-Line Testing Symposium")</f>
        <v>IEEE International On-Line Testing Symposium</v>
      </c>
      <c r="D34" s="75">
        <f>IFERROR(__xludf.DUMMYFUNCTION("""COMPUTED_VALUE"""),18.0)</f>
        <v>18</v>
      </c>
      <c r="E34" s="59" t="str">
        <f>IFERROR(__xludf.DUMMYFUNCTION("""COMPUTED_VALUE"""),"https://scholar.google.com/citations?hl=pt-BR&amp;view_op=list_hcore&amp;venue=0SR2S8_NVfUJ.2024")</f>
        <v>https://scholar.google.com/citations?hl=pt-BR&amp;view_op=list_hcore&amp;venue=0SR2S8_NVfUJ.2024</v>
      </c>
      <c r="F34" s="76"/>
      <c r="I34" s="60" t="str">
        <f>IFERROR(__xludf.DUMMYFUNCTION("""COMPUTED_VALUE"""),"https://dblp.org/db/conf/iolts/index.html")</f>
        <v>https://dblp.org/db/conf/iolts/index.html</v>
      </c>
    </row>
    <row r="35">
      <c r="A35" s="68" t="str">
        <f>IFERROR(__xludf.DUMMYFUNCTION("""COMPUTED_VALUE"""),"Eventos da Área")</f>
        <v>Eventos da Área</v>
      </c>
      <c r="B35" s="74" t="str">
        <f>IFERROR(__xludf.DUMMYFUNCTION("""COMPUTED_VALUE"""),"ETS")</f>
        <v>ETS</v>
      </c>
      <c r="C35" s="77" t="str">
        <f>IFERROR(__xludf.DUMMYFUNCTION("""COMPUTED_VALUE"""),"IEEE European Test Symposium")</f>
        <v>IEEE European Test Symposium</v>
      </c>
      <c r="D35" s="75">
        <f>IFERROR(__xludf.DUMMYFUNCTION("""COMPUTED_VALUE"""),16.0)</f>
        <v>16</v>
      </c>
      <c r="E35" s="59" t="str">
        <f>IFERROR(__xludf.DUMMYFUNCTION("""COMPUTED_VALUE"""),"https://scholar.google.com/citations?hl=pt-BR&amp;view_op=list_hcore&amp;venue=t9W1EjUjQrMJ.2024")</f>
        <v>https://scholar.google.com/citations?hl=pt-BR&amp;view_op=list_hcore&amp;venue=t9W1EjUjQrMJ.2024</v>
      </c>
      <c r="F35" s="76"/>
      <c r="I35" s="60" t="str">
        <f>IFERROR(__xludf.DUMMYFUNCTION("""COMPUTED_VALUE"""),"https://dblp.org/db/conf/ets/index.html")</f>
        <v>https://dblp.org/db/conf/ets/index.html</v>
      </c>
    </row>
    <row r="36">
      <c r="A36" s="68" t="str">
        <f>IFERROR(__xludf.DUMMYFUNCTION("""COMPUTED_VALUE"""),"Eventos da Área")</f>
        <v>Eventos da Área</v>
      </c>
      <c r="B36" s="74" t="str">
        <f>IFERROR(__xludf.DUMMYFUNCTION("""COMPUTED_VALUE"""),"NORCAS")</f>
        <v>NORCAS</v>
      </c>
      <c r="C36" s="74" t="str">
        <f>IFERROR(__xludf.DUMMYFUNCTION("""COMPUTED_VALUE"""),"Nordic Circuits and Systems Conference")</f>
        <v>Nordic Circuits and Systems Conference</v>
      </c>
      <c r="D36" s="75">
        <f>IFERROR(__xludf.DUMMYFUNCTION("""COMPUTED_VALUE"""),8.0)</f>
        <v>8</v>
      </c>
      <c r="E36" s="59" t="str">
        <f>IFERROR(__xludf.DUMMYFUNCTION("""COMPUTED_VALUE"""),"https://scholar.google.com/citations?hl=pt-BR&amp;view_op=list_hcore&amp;venue=VvyAP556dQAJ.2024")</f>
        <v>https://scholar.google.com/citations?hl=pt-BR&amp;view_op=list_hcore&amp;venue=VvyAP556dQAJ.2024</v>
      </c>
      <c r="F36" s="76"/>
      <c r="I36" s="60" t="str">
        <f>IFERROR(__xludf.DUMMYFUNCTION("""COMPUTED_VALUE"""),"https://dblp.org/db/conf/norcas/index.html")</f>
        <v>https://dblp.org/db/conf/norcas/index.html</v>
      </c>
    </row>
    <row r="37">
      <c r="A37" s="68" t="str">
        <f>IFERROR(__xludf.DUMMYFUNCTION("""COMPUTED_VALUE"""),"Eventos da Área")</f>
        <v>Eventos da Área</v>
      </c>
      <c r="B37" s="74" t="str">
        <f>IFERROR(__xludf.DUMMYFUNCTION("""COMPUTED_VALUE"""),"VLSI-DAT")</f>
        <v>VLSI-DAT</v>
      </c>
      <c r="C37" s="74" t="str">
        <f>IFERROR(__xludf.DUMMYFUNCTION("""COMPUTED_VALUE"""),"International Symposium on VLSI Design, Automation and Test")</f>
        <v>International Symposium on VLSI Design, Automation and Test</v>
      </c>
      <c r="D37" s="75">
        <f>IFERROR(__xludf.DUMMYFUNCTION("""COMPUTED_VALUE"""),10.0)</f>
        <v>10</v>
      </c>
      <c r="E37" s="59" t="str">
        <f>IFERROR(__xludf.DUMMYFUNCTION("""COMPUTED_VALUE"""),"https://scholar.google.com/citations?hl=pt-BR&amp;view_op=list_hcore&amp;venue=SOMKtO20fWEJ.2024")</f>
        <v>https://scholar.google.com/citations?hl=pt-BR&amp;view_op=list_hcore&amp;venue=SOMKtO20fWEJ.2024</v>
      </c>
      <c r="F37" s="76"/>
      <c r="I37" s="60" t="str">
        <f>IFERROR(__xludf.DUMMYFUNCTION("""COMPUTED_VALUE"""),"https://dblp.org/db/conf/vlsi-dat/index.html")</f>
        <v>https://dblp.org/db/conf/vlsi-dat/index.html</v>
      </c>
    </row>
    <row r="38">
      <c r="A38" s="68" t="str">
        <f>IFERROR(__xludf.DUMMYFUNCTION("""COMPUTED_VALUE"""),"Eventos da Área")</f>
        <v>Eventos da Área</v>
      </c>
      <c r="B38" s="74" t="str">
        <f>IFERROR(__xludf.DUMMYFUNCTION("""COMPUTED_VALUE"""),"DDECS")</f>
        <v>DDECS</v>
      </c>
      <c r="C38" s="74" t="str">
        <f>IFERROR(__xludf.DUMMYFUNCTION("""COMPUTED_VALUE"""),"IEEE International Symposium on Design and Diagnostics of Electronic Circuits &amp; Systems")</f>
        <v>IEEE International Symposium on Design and Diagnostics of Electronic Circuits &amp; Systems</v>
      </c>
      <c r="D38" s="75">
        <f>IFERROR(__xludf.DUMMYFUNCTION("""COMPUTED_VALUE"""),10.0)</f>
        <v>10</v>
      </c>
      <c r="E38" s="59" t="str">
        <f>IFERROR(__xludf.DUMMYFUNCTION("""COMPUTED_VALUE"""),"https://scholar.google.com/citations?hl=pt-BR&amp;view_op=list_hcore&amp;venue=7-_qFtHfavIJ.2024")</f>
        <v>https://scholar.google.com/citations?hl=pt-BR&amp;view_op=list_hcore&amp;venue=7-_qFtHfavIJ.2024</v>
      </c>
      <c r="F38" s="76"/>
      <c r="I38" s="60" t="str">
        <f>IFERROR(__xludf.DUMMYFUNCTION("""COMPUTED_VALUE"""),"https://dblp.org/db/conf/ddecs/index.html")</f>
        <v>https://dblp.org/db/conf/ddecs/index.html</v>
      </c>
    </row>
    <row r="39">
      <c r="A39" s="68" t="str">
        <f>IFERROR(__xludf.DUMMYFUNCTION("""COMPUTED_VALUE"""),"Eventos da Área")</f>
        <v>Eventos da Área</v>
      </c>
      <c r="B39" s="74" t="str">
        <f>IFERROR(__xludf.DUMMYFUNCTION("""COMPUTED_VALUE"""),"DFTVS")</f>
        <v>DFTVS</v>
      </c>
      <c r="C39" s="74" t="str">
        <f>IFERROR(__xludf.DUMMYFUNCTION("""COMPUTED_VALUE"""),"IEEE International Symposium on Defect and Fault Tolerance of VLSI Systems")</f>
        <v>IEEE International Symposium on Defect and Fault Tolerance of VLSI Systems</v>
      </c>
      <c r="D39" s="75">
        <f>IFERROR(__xludf.DUMMYFUNCTION("""COMPUTED_VALUE"""),15.0)</f>
        <v>15</v>
      </c>
      <c r="E39" s="59" t="str">
        <f>IFERROR(__xludf.DUMMYFUNCTION("""COMPUTED_VALUE"""),"https://scholar.google.com/citations?hl=pt-BR&amp;view_op=list_hcore&amp;venue=y53zu2cNqqkJ.2024")</f>
        <v>https://scholar.google.com/citations?hl=pt-BR&amp;view_op=list_hcore&amp;venue=y53zu2cNqqkJ.2024</v>
      </c>
      <c r="F39" s="76"/>
      <c r="I39" s="60" t="str">
        <f>IFERROR(__xludf.DUMMYFUNCTION("""COMPUTED_VALUE"""),"https://dblp.org/db/conf/dft/index.html")</f>
        <v>https://dblp.org/db/conf/dft/index.html</v>
      </c>
    </row>
    <row r="40">
      <c r="A40" s="68" t="str">
        <f>IFERROR(__xludf.DUMMYFUNCTION("""COMPUTED_VALUE"""),"Eventos da Área")</f>
        <v>Eventos da Área</v>
      </c>
      <c r="B40" s="74" t="str">
        <f>IFERROR(__xludf.DUMMYFUNCTION("""COMPUTED_VALUE"""),"ISMVL")</f>
        <v>ISMVL</v>
      </c>
      <c r="C40" s="74" t="str">
        <f>IFERROR(__xludf.DUMMYFUNCTION("""COMPUTED_VALUE"""),"IEEE International Symposium on Multiple-Valued Logic")</f>
        <v>IEEE International Symposium on Multiple-Valued Logic</v>
      </c>
      <c r="D40" s="75">
        <f>IFERROR(__xludf.DUMMYFUNCTION("""COMPUTED_VALUE"""),12.0)</f>
        <v>12</v>
      </c>
      <c r="E40" s="59" t="str">
        <f>IFERROR(__xludf.DUMMYFUNCTION("""COMPUTED_VALUE"""),"https://scholar.google.com/citations?hl=pt-BR&amp;view_op=list_hcore&amp;venue=K6125zrCIPYJ.2024")</f>
        <v>https://scholar.google.com/citations?hl=pt-BR&amp;view_op=list_hcore&amp;venue=K6125zrCIPYJ.2024</v>
      </c>
      <c r="F40" s="76"/>
      <c r="I40" s="60" t="str">
        <f>IFERROR(__xludf.DUMMYFUNCTION("""COMPUTED_VALUE"""),"https://dblp.org/db/conf/ismvl/index.html")</f>
        <v>https://dblp.org/db/conf/ismvl/index.html</v>
      </c>
    </row>
    <row r="41">
      <c r="A41" s="68" t="str">
        <f>IFERROR(__xludf.DUMMYFUNCTION("""COMPUTED_VALUE"""),"Eventos da Área")</f>
        <v>Eventos da Área</v>
      </c>
      <c r="B41" s="74" t="str">
        <f>IFERROR(__xludf.DUMMYFUNCTION("""COMPUTED_VALUE"""),"ICM")</f>
        <v>ICM</v>
      </c>
      <c r="C41" s="74" t="str">
        <f>IFERROR(__xludf.DUMMYFUNCTION("""COMPUTED_VALUE"""),"International Conference on Microelectronics")</f>
        <v>International Conference on Microelectronics</v>
      </c>
      <c r="D41" s="75">
        <f>IFERROR(__xludf.DUMMYFUNCTION("""COMPUTED_VALUE"""),16.0)</f>
        <v>16</v>
      </c>
      <c r="E41" s="59" t="str">
        <f>IFERROR(__xludf.DUMMYFUNCTION("""COMPUTED_VALUE"""),"https://scholar.google.com/citations?hl=pt-BR&amp;view_op=list_hcore&amp;venue=Im4h2DUUqYEJ.2024")</f>
        <v>https://scholar.google.com/citations?hl=pt-BR&amp;view_op=list_hcore&amp;venue=Im4h2DUUqYEJ.2024</v>
      </c>
      <c r="F41" s="76"/>
      <c r="I41" s="60" t="str">
        <f>IFERROR(__xludf.DUMMYFUNCTION("""COMPUTED_VALUE"""),"https://dblp.org/db/conf/icm2/index.html")</f>
        <v>https://dblp.org/db/conf/icm2/index.html</v>
      </c>
    </row>
    <row r="42">
      <c r="A42" s="68" t="str">
        <f>IFERROR(__xludf.DUMMYFUNCTION("""COMPUTED_VALUE"""),"Eventos da Área")</f>
        <v>Eventos da Área</v>
      </c>
      <c r="B42" s="74" t="str">
        <f>IFERROR(__xludf.DUMMYFUNCTION("""COMPUTED_VALUE"""),"SENSORNETS")</f>
        <v>SENSORNETS</v>
      </c>
      <c r="C42" s="74" t="str">
        <f>IFERROR(__xludf.DUMMYFUNCTION("""COMPUTED_VALUE"""),"International Conference on Sensor Networks")</f>
        <v>International Conference on Sensor Networks</v>
      </c>
      <c r="D42" s="75">
        <f>IFERROR(__xludf.DUMMYFUNCTION("""COMPUTED_VALUE"""),9.0)</f>
        <v>9</v>
      </c>
      <c r="E42" s="59" t="str">
        <f>IFERROR(__xludf.DUMMYFUNCTION("""COMPUTED_VALUE"""),"https://scholar.google.com/citations?hl=pt-BR&amp;view_op=list_hcore&amp;venue=xdfwLOgmtocJ.2024")</f>
        <v>https://scholar.google.com/citations?hl=pt-BR&amp;view_op=list_hcore&amp;venue=xdfwLOgmtocJ.2024</v>
      </c>
      <c r="F42" s="76"/>
      <c r="I42" s="60" t="str">
        <f>IFERROR(__xludf.DUMMYFUNCTION("""COMPUTED_VALUE"""),"https://dblp.org/db/conf/sensornets/index.html")</f>
        <v>https://dblp.org/db/conf/sensornets/index.html</v>
      </c>
    </row>
    <row r="43">
      <c r="A43" s="68" t="str">
        <f>IFERROR(__xludf.DUMMYFUNCTION("""COMPUTED_VALUE"""),"Eventos da Área")</f>
        <v>Eventos da Área</v>
      </c>
      <c r="B43" s="74" t="str">
        <f>IFERROR(__xludf.DUMMYFUNCTION("""COMPUTED_VALUE"""),"FCCM ")</f>
        <v>FCCM </v>
      </c>
      <c r="C43" s="74" t="str">
        <f>IFERROR(__xludf.DUMMYFUNCTION("""COMPUTED_VALUE"""),"IEEE Symposium on Field-Programmable Custom Computing Machines")</f>
        <v>IEEE Symposium on Field-Programmable Custom Computing Machines</v>
      </c>
      <c r="D43" s="75">
        <f>IFERROR(__xludf.DUMMYFUNCTION("""COMPUTED_VALUE"""),28.0)</f>
        <v>28</v>
      </c>
      <c r="E43" s="59" t="str">
        <f>IFERROR(__xludf.DUMMYFUNCTION("""COMPUTED_VALUE"""),"https://scholar.google.com/citations?hl=pt-BR&amp;view_op=list_hcore&amp;venue=uLGTNGzfRS0J.2024")</f>
        <v>https://scholar.google.com/citations?hl=pt-BR&amp;view_op=list_hcore&amp;venue=uLGTNGzfRS0J.2024</v>
      </c>
      <c r="F43" s="76"/>
      <c r="I43" s="60" t="str">
        <f>IFERROR(__xludf.DUMMYFUNCTION("""COMPUTED_VALUE"""),"https://dblp.org/db/conf/fccm/index.html")</f>
        <v>https://dblp.org/db/conf/fccm/index.html</v>
      </c>
    </row>
    <row r="44">
      <c r="A44" s="68" t="str">
        <f>IFERROR(__xludf.DUMMYFUNCTION("""COMPUTED_VALUE"""),"Eventos da Área")</f>
        <v>Eventos da Área</v>
      </c>
      <c r="B44" s="74" t="str">
        <f>IFERROR(__xludf.DUMMYFUNCTION("""COMPUTED_VALUE"""),"SAMOS")</f>
        <v>SAMOS</v>
      </c>
      <c r="C44" s="74" t="str">
        <f>IFERROR(__xludf.DUMMYFUNCTION("""COMPUTED_VALUE"""),"International Conference on Embedded Computer Systems")</f>
        <v>International Conference on Embedded Computer Systems</v>
      </c>
      <c r="D44" s="75">
        <f>IFERROR(__xludf.DUMMYFUNCTION("""COMPUTED_VALUE"""),11.0)</f>
        <v>11</v>
      </c>
      <c r="E44" s="59" t="str">
        <f>IFERROR(__xludf.DUMMYFUNCTION("""COMPUTED_VALUE"""),"https://scholar.google.com/citations?hl=pt-BR&amp;view_op=list_hcore&amp;venue=6GMyv-BpYgwJ.2024")</f>
        <v>https://scholar.google.com/citations?hl=pt-BR&amp;view_op=list_hcore&amp;venue=6GMyv-BpYgwJ.2024</v>
      </c>
      <c r="F44" s="76"/>
      <c r="I44" s="60" t="str">
        <f>IFERROR(__xludf.DUMMYFUNCTION("""COMPUTED_VALUE"""),"https://dblp.org/db/conf/samos/index.html")</f>
        <v>https://dblp.org/db/conf/samos/index.html</v>
      </c>
    </row>
    <row r="45">
      <c r="A45" s="68" t="str">
        <f>IFERROR(__xludf.DUMMYFUNCTION("""COMPUTED_VALUE"""),"Eventos da Área")</f>
        <v>Eventos da Área</v>
      </c>
      <c r="B45" s="74" t="str">
        <f>IFERROR(__xludf.DUMMYFUNCTION("""COMPUTED_VALUE"""),"FPT")</f>
        <v>FPT</v>
      </c>
      <c r="C45" s="74" t="str">
        <f>IFERROR(__xludf.DUMMYFUNCTION("""COMPUTED_VALUE"""),"International Conference on Field-Programmable Technology")</f>
        <v>International Conference on Field-Programmable Technology</v>
      </c>
      <c r="D45" s="75">
        <f>IFERROR(__xludf.DUMMYFUNCTION("""COMPUTED_VALUE"""),21.0)</f>
        <v>21</v>
      </c>
      <c r="E45" s="59" t="str">
        <f>IFERROR(__xludf.DUMMYFUNCTION("""COMPUTED_VALUE"""),"https://scholar.google.com/citations?hl=pt-BR&amp;view_op=list_hcore&amp;venue=WIezXfeOQkEJ.2024")</f>
        <v>https://scholar.google.com/citations?hl=pt-BR&amp;view_op=list_hcore&amp;venue=WIezXfeOQkEJ.2024</v>
      </c>
      <c r="F45" s="76"/>
      <c r="I45" s="60" t="str">
        <f>IFERROR(__xludf.DUMMYFUNCTION("""COMPUTED_VALUE"""),"https://dblp.org/db/conf/fpt/index.html")</f>
        <v>https://dblp.org/db/conf/fpt/index.html</v>
      </c>
    </row>
    <row r="46">
      <c r="A46" s="68" t="str">
        <f>IFERROR(__xludf.DUMMYFUNCTION("""COMPUTED_VALUE"""),"Eventos da Área")</f>
        <v>Eventos da Área</v>
      </c>
      <c r="B46" s="74" t="str">
        <f>IFERROR(__xludf.DUMMYFUNCTION("""COMPUTED_VALUE"""),"ARC")</f>
        <v>ARC</v>
      </c>
      <c r="C46" s="74" t="str">
        <f>IFERROR(__xludf.DUMMYFUNCTION("""COMPUTED_VALUE"""),"Applied Reconfigurable Computing")</f>
        <v>Applied Reconfigurable Computing</v>
      </c>
      <c r="D46" s="76">
        <f>IFERROR(__xludf.DUMMYFUNCTION("""COMPUTED_VALUE"""),13.0)</f>
        <v>13</v>
      </c>
      <c r="E46" s="59" t="str">
        <f>IFERROR(__xludf.DUMMYFUNCTION("""COMPUTED_VALUE"""),"https://scholar.google.com/citations?hl=pt-BR&amp;view_op=list_hcore&amp;venue=YfOo-Q2IJm8J.2024")</f>
        <v>https://scholar.google.com/citations?hl=pt-BR&amp;view_op=list_hcore&amp;venue=YfOo-Q2IJm8J.2024</v>
      </c>
      <c r="F46" s="76"/>
      <c r="I46" s="60" t="str">
        <f>IFERROR(__xludf.DUMMYFUNCTION("""COMPUTED_VALUE"""),"https://dblp.org/db/conf/arc/index.html")</f>
        <v>https://dblp.org/db/conf/arc/index.html</v>
      </c>
    </row>
    <row r="47">
      <c r="A47" s="68" t="str">
        <f>IFERROR(__xludf.DUMMYFUNCTION("""COMPUTED_VALUE"""),"Eventos da Área")</f>
        <v>Eventos da Área</v>
      </c>
      <c r="B47" s="74" t="str">
        <f>IFERROR(__xludf.DUMMYFUNCTION("""COMPUTED_VALUE"""),"RECOSOC")</f>
        <v>RECOSOC</v>
      </c>
      <c r="C47" s="74" t="str">
        <f>IFERROR(__xludf.DUMMYFUNCTION("""COMPUTED_VALUE"""),"International Symposium on Reconfigurable Communication-centric Systems-on-Chip")</f>
        <v>International Symposium on Reconfigurable Communication-centric Systems-on-Chip</v>
      </c>
      <c r="D47" s="75">
        <f>IFERROR(__xludf.DUMMYFUNCTION("""COMPUTED_VALUE"""),11.0)</f>
        <v>11</v>
      </c>
      <c r="E47" s="59" t="str">
        <f>IFERROR(__xludf.DUMMYFUNCTION("""COMPUTED_VALUE"""),"https://scholar.google.com.br/citations?hl=pt-BR&amp;view_op=list_hcore&amp;venue=z8sUAB07Au0J.2018")</f>
        <v>https://scholar.google.com.br/citations?hl=pt-BR&amp;view_op=list_hcore&amp;venue=z8sUAB07Au0J.2018</v>
      </c>
      <c r="F47" s="76"/>
      <c r="I47" s="60" t="str">
        <f>IFERROR(__xludf.DUMMYFUNCTION("""COMPUTED_VALUE"""),"https://dblp.org/db/conf/recosoc/index.html")</f>
        <v>https://dblp.org/db/conf/recosoc/index.html</v>
      </c>
    </row>
    <row r="48">
      <c r="A48" s="68" t="str">
        <f>IFERROR(__xludf.DUMMYFUNCTION("""COMPUTED_VALUE"""),"Eventos da Área")</f>
        <v>Eventos da Área</v>
      </c>
      <c r="B48" s="74" t="str">
        <f>IFERROR(__xludf.DUMMYFUNCTION("""COMPUTED_VALUE"""),"ECCTD")</f>
        <v>ECCTD</v>
      </c>
      <c r="C48" s="74" t="str">
        <f>IFERROR(__xludf.DUMMYFUNCTION("""COMPUTED_VALUE"""),"European Conference on Circuit Theory and Design")</f>
        <v>European Conference on Circuit Theory and Design</v>
      </c>
      <c r="D48" s="75">
        <f>IFERROR(__xludf.DUMMYFUNCTION("""COMPUTED_VALUE"""),8.0)</f>
        <v>8</v>
      </c>
      <c r="E48" s="59" t="str">
        <f>IFERROR(__xludf.DUMMYFUNCTION("""COMPUTED_VALUE"""),"https://scholar.google.com/scholar?as_q=&amp;as_epq=&amp;as_oq=&amp;as_eq=&amp;as_occt=any&amp;as_sauthors=&amp;as_publication=European+Conference+on+Circuit+Theory+and+Design&amp;as_ylo=2020&amp;as_yhi=2024&amp;hl=en&amp;as_sdt=0%2C5")</f>
        <v>https://scholar.google.com/scholar?as_q=&amp;as_epq=&amp;as_oq=&amp;as_eq=&amp;as_occt=any&amp;as_sauthors=&amp;as_publication=European+Conference+on+Circuit+Theory+and+Design&amp;as_ylo=2020&amp;as_yhi=2024&amp;hl=en&amp;as_sdt=0%2C5</v>
      </c>
      <c r="F48" s="76"/>
      <c r="I48" s="60" t="str">
        <f>IFERROR(__xludf.DUMMYFUNCTION("""COMPUTED_VALUE"""),"https://dblp.org/db/conf/ecctd/index.html")</f>
        <v>https://dblp.org/db/conf/ecctd/index.html</v>
      </c>
    </row>
    <row r="49">
      <c r="A49" s="68" t="str">
        <f>IFERROR(__xludf.DUMMYFUNCTION("""COMPUTED_VALUE"""),"Eventos da Área")</f>
        <v>Eventos da Área</v>
      </c>
      <c r="B49" s="74" t="str">
        <f>IFERROR(__xludf.DUMMYFUNCTION("""COMPUTED_VALUE"""),"CODES+ISSS")</f>
        <v>CODES+ISSS</v>
      </c>
      <c r="C49" s="74" t="str">
        <f>IFERROR(__xludf.DUMMYFUNCTION("""COMPUTED_VALUE"""),"IEEE/ACM/IFIP International Conference on Hardware/Software Codesign and System Synthesis")</f>
        <v>IEEE/ACM/IFIP International Conference on Hardware/Software Codesign and System Synthesis</v>
      </c>
      <c r="D49" s="75">
        <f>IFERROR(__xludf.DUMMYFUNCTION("""COMPUTED_VALUE"""),5.0)</f>
        <v>5</v>
      </c>
      <c r="E49" s="59" t="str">
        <f>IFERROR(__xludf.DUMMYFUNCTION("""COMPUTED_VALUE"""),"https://scholar.google.com/scholar?as_q=&amp;as_epq=&amp;as_oq=&amp;as_eq=&amp;as_occt=any&amp;as_sauthors=&amp;as_publication=International+Conference+on+Hardware%2FSoftware+Codesign+and+System+Synthesis&amp;as_ylo=2020&amp;as_yhi=2024&amp;hl=en&amp;as_sdt=0%2C5")</f>
        <v>https://scholar.google.com/scholar?as_q=&amp;as_epq=&amp;as_oq=&amp;as_eq=&amp;as_occt=any&amp;as_sauthors=&amp;as_publication=International+Conference+on+Hardware%2FSoftware+Codesign+and+System+Synthesis&amp;as_ylo=2020&amp;as_yhi=2024&amp;hl=en&amp;as_sdt=0%2C5</v>
      </c>
      <c r="F49" s="76"/>
      <c r="I49" s="60" t="str">
        <f>IFERROR(__xludf.DUMMYFUNCTION("""COMPUTED_VALUE"""),"https://dblp.org/db/conf/codesisss/index.html")</f>
        <v>https://dblp.org/db/conf/codesisss/index.html</v>
      </c>
    </row>
    <row r="50">
      <c r="A50" s="68" t="str">
        <f>IFERROR(__xludf.DUMMYFUNCTION("""COMPUTED_VALUE"""),"Eventos da Área")</f>
        <v>Eventos da Área</v>
      </c>
      <c r="B50" s="74" t="str">
        <f>IFERROR(__xludf.DUMMYFUNCTION("""COMPUTED_VALUE"""),"RECONFIG")</f>
        <v>RECONFIG</v>
      </c>
      <c r="C50" s="74" t="str">
        <f>IFERROR(__xludf.DUMMYFUNCTION("""COMPUTED_VALUE"""),"International Conference on Reconfigurable Computing and FPGAs")</f>
        <v>International Conference on Reconfigurable Computing and FPGAs</v>
      </c>
      <c r="D50" s="75"/>
      <c r="E50" s="59"/>
      <c r="F50" s="76"/>
      <c r="I50" s="60" t="str">
        <f>IFERROR(__xludf.DUMMYFUNCTION("""COMPUTED_VALUE"""),"https://dblp.org/db/conf/reconfig/index.html")</f>
        <v>https://dblp.org/db/conf/reconfig/index.html</v>
      </c>
    </row>
    <row r="51">
      <c r="A51" s="68" t="str">
        <f>IFERROR(__xludf.DUMMYFUNCTION("""COMPUTED_VALUE"""),"Eventos da Área")</f>
        <v>Eventos da Área</v>
      </c>
      <c r="B51" s="74" t="str">
        <f>IFERROR(__xludf.DUMMYFUNCTION("""COMPUTED_VALUE"""),"3DIC")</f>
        <v>3DIC</v>
      </c>
      <c r="C51" s="74" t="str">
        <f>IFERROR(__xludf.DUMMYFUNCTION("""COMPUTED_VALUE"""),"IEEE International 3D Systems Integration Conference")</f>
        <v>IEEE International 3D Systems Integration Conference</v>
      </c>
      <c r="D51" s="75">
        <f>IFERROR(__xludf.DUMMYFUNCTION("""COMPUTED_VALUE"""),5.0)</f>
        <v>5</v>
      </c>
      <c r="E51" s="59" t="str">
        <f>IFERROR(__xludf.DUMMYFUNCTION("""COMPUTED_VALUE"""),"https://scholar.google.com/scholar?as_q=&amp;as_epq=&amp;as_oq=&amp;as_eq=&amp;as_occt=any&amp;as_sauthors=&amp;as_publication=IEEE+International+3D+Systems+Integration+Conference&amp;as_ylo=2020&amp;as_yhi=2024&amp;hl=en&amp;as_sdt=0%2C5")</f>
        <v>https://scholar.google.com/scholar?as_q=&amp;as_epq=&amp;as_oq=&amp;as_eq=&amp;as_occt=any&amp;as_sauthors=&amp;as_publication=IEEE+International+3D+Systems+Integration+Conference&amp;as_ylo=2020&amp;as_yhi=2024&amp;hl=en&amp;as_sdt=0%2C5</v>
      </c>
      <c r="F51" s="76"/>
      <c r="I51" s="60" t="str">
        <f>IFERROR(__xludf.DUMMYFUNCTION("""COMPUTED_VALUE"""),"https://dblp.org/db/conf/3dic/index.html")</f>
        <v>https://dblp.org/db/conf/3dic/index.html</v>
      </c>
    </row>
    <row r="52">
      <c r="A52" s="68" t="str">
        <f>IFERROR(__xludf.DUMMYFUNCTION("""COMPUTED_VALUE"""),"Eventos da Área")</f>
        <v>Eventos da Área</v>
      </c>
      <c r="B52" s="74" t="str">
        <f>IFERROR(__xludf.DUMMYFUNCTION("""COMPUTED_VALUE"""),"SOCC")</f>
        <v>SOCC</v>
      </c>
      <c r="C52" s="74" t="str">
        <f>IFERROR(__xludf.DUMMYFUNCTION("""COMPUTED_VALUE"""),"IEEE International SOC Conference")</f>
        <v>IEEE International SOC Conference</v>
      </c>
      <c r="D52" s="75">
        <f>IFERROR(__xludf.DUMMYFUNCTION("""COMPUTED_VALUE"""),11.0)</f>
        <v>11</v>
      </c>
      <c r="E52" s="59" t="str">
        <f>IFERROR(__xludf.DUMMYFUNCTION("""COMPUTED_VALUE"""),"https://scholar.google.com/citations?hl=pt-BR&amp;view_op=list_hcore&amp;venue=-JLYUDNfBVUJ.2024")</f>
        <v>https://scholar.google.com/citations?hl=pt-BR&amp;view_op=list_hcore&amp;venue=-JLYUDNfBVUJ.2024</v>
      </c>
      <c r="F52" s="76"/>
    </row>
    <row r="53">
      <c r="A53" s="68" t="str">
        <f>IFERROR(__xludf.DUMMYFUNCTION("""COMPUTED_VALUE"""),"Eventos da Área")</f>
        <v>Eventos da Área</v>
      </c>
      <c r="B53" s="74" t="str">
        <f>IFERROR(__xludf.DUMMYFUNCTION("""COMPUTED_VALUE"""),"FDL")</f>
        <v>FDL</v>
      </c>
      <c r="C53" s="74" t="str">
        <f>IFERROR(__xludf.DUMMYFUNCTION("""COMPUTED_VALUE"""),"Forum on Specification and Design Languages")</f>
        <v>Forum on Specification and Design Languages</v>
      </c>
      <c r="D53" s="75">
        <f>IFERROR(__xludf.DUMMYFUNCTION("""COMPUTED_VALUE"""),1.0)</f>
        <v>1</v>
      </c>
      <c r="E53" s="59" t="str">
        <f>IFERROR(__xludf.DUMMYFUNCTION("""COMPUTED_VALUE"""),"https://scholar.google.com/scholar?as_q=&amp;as_epq=&amp;as_oq=&amp;as_eq=&amp;as_occt=any&amp;as_sauthors=&amp;as_publication=Forum+on+Specification+and+Design+Languages&amp;as_ylo=2020&amp;as_yhi=2024&amp;hl=en&amp;as_sdt=0%2C5")</f>
        <v>https://scholar.google.com/scholar?as_q=&amp;as_epq=&amp;as_oq=&amp;as_eq=&amp;as_occt=any&amp;as_sauthors=&amp;as_publication=Forum+on+Specification+and+Design+Languages&amp;as_ylo=2020&amp;as_yhi=2024&amp;hl=en&amp;as_sdt=0%2C5</v>
      </c>
      <c r="F53" s="76"/>
      <c r="I53" s="60" t="str">
        <f>IFERROR(__xludf.DUMMYFUNCTION("""COMPUTED_VALUE"""),"https://dblp.org/db/conf/fdl/index.html")</f>
        <v>https://dblp.org/db/conf/fdl/index.html</v>
      </c>
    </row>
    <row r="54">
      <c r="A54" s="68" t="str">
        <f>IFERROR(__xludf.DUMMYFUNCTION("""COMPUTED_VALUE"""),"Eventos da Área")</f>
        <v>Eventos da Área</v>
      </c>
      <c r="B54" s="74" t="str">
        <f>IFERROR(__xludf.DUMMYFUNCTION("""COMPUTED_VALUE"""),"PATMOS")</f>
        <v>PATMOS</v>
      </c>
      <c r="C54" s="74" t="str">
        <f>IFERROR(__xludf.DUMMYFUNCTION("""COMPUTED_VALUE"""),"International Workshop on Power and Timing Modeling, Optimization and Simulation")</f>
        <v>International Workshop on Power and Timing Modeling, Optimization and Simulation</v>
      </c>
      <c r="D54" s="75"/>
      <c r="E54" s="59"/>
      <c r="F54" s="76"/>
    </row>
    <row r="55">
      <c r="A55" s="68" t="str">
        <f>IFERROR(__xludf.DUMMYFUNCTION("""COMPUTED_VALUE"""),"Eventos da Área")</f>
        <v>Eventos da Área</v>
      </c>
      <c r="B55" s="74" t="str">
        <f>IFERROR(__xludf.DUMMYFUNCTION("""COMPUTED_VALUE"""),"CASES")</f>
        <v>CASES</v>
      </c>
      <c r="C55" s="74" t="str">
        <f>IFERROR(__xludf.DUMMYFUNCTION("""COMPUTED_VALUE"""),"International Conference on Compilers, Architecture, and Synthesis for Embedded Systems")</f>
        <v>International Conference on Compilers, Architecture, and Synthesis for Embedded Systems</v>
      </c>
      <c r="D55" s="76">
        <f>IFERROR(__xludf.DUMMYFUNCTION("""COMPUTED_VALUE"""),4.0)</f>
        <v>4</v>
      </c>
      <c r="E55" s="59" t="str">
        <f>IFERROR(__xludf.DUMMYFUNCTION("""COMPUTED_VALUE"""),"https://scholar.google.com/scholar?as_q=&amp;as_epq=&amp;as_oq=&amp;as_eq=&amp;as_occt=any&amp;as_sauthors=&amp;as_publication=International+Conference+on+Compilers%2C+Architecture%2C+and+Synthesis+for+Embedded+Systems&amp;as_ylo=2020&amp;as_yhi=2024&amp;hl=en&amp;as_sdt=0%2C5")</f>
        <v>https://scholar.google.com/scholar?as_q=&amp;as_epq=&amp;as_oq=&amp;as_eq=&amp;as_occt=any&amp;as_sauthors=&amp;as_publication=International+Conference+on+Compilers%2C+Architecture%2C+and+Synthesis+for+Embedded+Systems&amp;as_ylo=2020&amp;as_yhi=2024&amp;hl=en&amp;as_sdt=0%2C5</v>
      </c>
      <c r="F55" s="76"/>
      <c r="I55" s="60" t="str">
        <f>IFERROR(__xludf.DUMMYFUNCTION("""COMPUTED_VALUE"""),"https://dblp.org/db/conf/cases/index.html")</f>
        <v>https://dblp.org/db/conf/cases/index.html</v>
      </c>
    </row>
    <row r="56">
      <c r="A56" s="68" t="str">
        <f>IFERROR(__xludf.DUMMYFUNCTION("""COMPUTED_VALUE"""),"Eventos da Área")</f>
        <v>Eventos da Área</v>
      </c>
      <c r="B56" s="74" t="str">
        <f>IFERROR(__xludf.DUMMYFUNCTION("""COMPUTED_VALUE"""),"ICE-CCN")</f>
        <v>ICE-CCN</v>
      </c>
      <c r="C56" s="74" t="str">
        <f>IFERROR(__xludf.DUMMYFUNCTION("""COMPUTED_VALUE"""),"International Conference on Emerging Trends in Computing, Communication and Nanotechnology")</f>
        <v>International Conference on Emerging Trends in Computing, Communication and Nanotechnology</v>
      </c>
      <c r="D56" s="76"/>
      <c r="E56" s="59"/>
      <c r="F56" s="74"/>
    </row>
    <row r="57">
      <c r="A57" s="68" t="str">
        <f>IFERROR(__xludf.DUMMYFUNCTION("""COMPUTED_VALUE"""),"Eventos da Área")</f>
        <v>Eventos da Área</v>
      </c>
      <c r="B57" s="74" t="str">
        <f>IFERROR(__xludf.DUMMYFUNCTION("""COMPUTED_VALUE"""),"SARNOFF")</f>
        <v>SARNOFF</v>
      </c>
      <c r="C57" s="74" t="str">
        <f>IFERROR(__xludf.DUMMYFUNCTION("""COMPUTED_VALUE"""),"IEEE Sarnoff Symposium")</f>
        <v>IEEE Sarnoff Symposium</v>
      </c>
      <c r="D57" s="76"/>
      <c r="E57" s="59"/>
      <c r="F57" s="74"/>
      <c r="I57" s="60" t="str">
        <f>IFERROR(__xludf.DUMMYFUNCTION("""COMPUTED_VALUE"""),"https://dblp.org/db/conf/sarnoff/index.html")</f>
        <v>https://dblp.org/db/conf/sarnoff/index.html</v>
      </c>
    </row>
    <row r="58">
      <c r="A58" s="68" t="str">
        <f>IFERROR(__xludf.DUMMYFUNCTION("""COMPUTED_VALUE"""),"Eventos da Área")</f>
        <v>Eventos da Área</v>
      </c>
      <c r="B58" s="74" t="str">
        <f>IFERROR(__xludf.DUMMYFUNCTION("""COMPUTED_VALUE"""),"IBERCHIP")</f>
        <v>IBERCHIP</v>
      </c>
      <c r="C58" s="74" t="str">
        <f>IFERROR(__xludf.DUMMYFUNCTION("""COMPUTED_VALUE"""),"Workshop Iberchip")</f>
        <v>Workshop Iberchip</v>
      </c>
      <c r="D58" s="75">
        <f>IFERROR(__xludf.DUMMYFUNCTION("""COMPUTED_VALUE"""),2.0)</f>
        <v>2</v>
      </c>
      <c r="E58" s="59" t="str">
        <f>IFERROR(__xludf.DUMMYFUNCTION("""COMPUTED_VALUE"""),"https://scholar.google.com/scholar?as_q=&amp;as_epq=&amp;as_oq=&amp;as_eq=&amp;as_occt=any&amp;as_sauthors=&amp;as_publication=Workshop+Iberchip&amp;as_ylo=2020&amp;as_yhi=2024&amp;hl=en&amp;as_sdt=0%2C5#d=gs_hdr_drw&amp;t=1730925881163")</f>
        <v>https://scholar.google.com/scholar?as_q=&amp;as_epq=&amp;as_oq=&amp;as_eq=&amp;as_occt=any&amp;as_sauthors=&amp;as_publication=Workshop+Iberchip&amp;as_ylo=2020&amp;as_yhi=2024&amp;hl=en&amp;as_sdt=0%2C5#d=gs_hdr_drw&amp;t=1730925881163</v>
      </c>
      <c r="F58" s="76"/>
      <c r="H58" t="str">
        <f>IFERROR(__xludf.DUMMYFUNCTION("""COMPUTED_VALUE"""),"IBERCHIP Workshop")</f>
        <v>IBERCHIP Workshop</v>
      </c>
    </row>
    <row r="59">
      <c r="A59" s="68" t="str">
        <f>IFERROR(__xludf.DUMMYFUNCTION("""COMPUTED_VALUE"""),"Eventos da Área")</f>
        <v>Eventos da Área</v>
      </c>
      <c r="B59" s="76" t="str">
        <f>IFERROR(__xludf.DUMMYFUNCTION("""COMPUTED_VALUE"""),"WCAS")</f>
        <v>WCAS</v>
      </c>
      <c r="C59" s="74" t="str">
        <f>IFERROR(__xludf.DUMMYFUNCTION("""COMPUTED_VALUE"""),"Workshop on Circuits and System Design")</f>
        <v>Workshop on Circuits and System Design</v>
      </c>
      <c r="D59" s="75"/>
      <c r="E59" s="59"/>
      <c r="F59" s="76"/>
    </row>
    <row r="60">
      <c r="A60" s="68" t="str">
        <f>IFERROR(__xludf.DUMMYFUNCTION("""COMPUTED_VALUE"""),"Eventos da Área")</f>
        <v>Eventos da Área</v>
      </c>
      <c r="B60" s="74" t="str">
        <f>IFERROR(__xludf.DUMMYFUNCTION("""COMPUTED_VALUE"""),"Sforum")</f>
        <v>Sforum</v>
      </c>
      <c r="C60" s="74" t="str">
        <f>IFERROR(__xludf.DUMMYFUNCTION("""COMPUTED_VALUE"""),"Microelectronics Student Forum")</f>
        <v>Microelectronics Student Forum</v>
      </c>
      <c r="D60" s="75">
        <f>IFERROR(__xludf.DUMMYFUNCTION("""COMPUTED_VALUE"""),1.0)</f>
        <v>1</v>
      </c>
      <c r="E60" s="59" t="str">
        <f>IFERROR(__xludf.DUMMYFUNCTION("""COMPUTED_VALUE"""),"https://scholar.google.com/scholar?as_q=&amp;as_epq=&amp;as_oq=&amp;as_eq=&amp;as_occt=any&amp;as_sauthors=&amp;as_publication=Microelectronics+Student+Forum&amp;as_ylo=2020&amp;as_yhi=2024&amp;hl=en&amp;as_sdt=0%2C5")</f>
        <v>https://scholar.google.com/scholar?as_q=&amp;as_epq=&amp;as_oq=&amp;as_eq=&amp;as_occt=any&amp;as_sauthors=&amp;as_publication=Microelectronics+Student+Forum&amp;as_ylo=2020&amp;as_yhi=2024&amp;hl=en&amp;as_sdt=0%2C5</v>
      </c>
      <c r="F60" s="76"/>
    </row>
    <row r="61">
      <c r="A61" s="68" t="str">
        <f>IFERROR(__xludf.DUMMYFUNCTION("""COMPUTED_VALUE"""),"Eventos da Área")</f>
        <v>Eventos da Área</v>
      </c>
      <c r="B61" s="76" t="str">
        <f>IFERROR(__xludf.DUMMYFUNCTION("""COMPUTED_VALUE"""),"VLSID")</f>
        <v>VLSID</v>
      </c>
      <c r="C61" s="76" t="str">
        <f>IFERROR(__xludf.DUMMYFUNCTION("""COMPUTED_VALUE"""),"International Conference on VLSI Design")</f>
        <v>International Conference on VLSI Design</v>
      </c>
      <c r="D61" s="76">
        <f>IFERROR(__xludf.DUMMYFUNCTION("""COMPUTED_VALUE"""),14.0)</f>
        <v>14</v>
      </c>
      <c r="E61" s="59" t="str">
        <f>IFERROR(__xludf.DUMMYFUNCTION("""COMPUTED_VALUE"""),"https://scholar.google.com/citations?hl=pt-BR&amp;view_op=list_hcore&amp;venue=ouDl0FhpZQ8J.2024")</f>
        <v>https://scholar.google.com/citations?hl=pt-BR&amp;view_op=list_hcore&amp;venue=ouDl0FhpZQ8J.2024</v>
      </c>
      <c r="F61" s="76"/>
      <c r="I61" s="60" t="str">
        <f>IFERROR(__xludf.DUMMYFUNCTION("""COMPUTED_VALUE"""),"https://dblp.org/db/conf/vlsid/index.html")</f>
        <v>https://dblp.org/db/conf/vlsid/index.html</v>
      </c>
    </row>
    <row r="62">
      <c r="A62" s="68" t="str">
        <f>IFERROR(__xludf.DUMMYFUNCTION("""COMPUTED_VALUE"""),"Eventos da Área")</f>
        <v>Eventos da Área</v>
      </c>
      <c r="B62" s="76" t="str">
        <f>IFERROR(__xludf.DUMMYFUNCTION("""COMPUTED_VALUE"""),"ESREF")</f>
        <v>ESREF</v>
      </c>
      <c r="C62" s="76" t="str">
        <f>IFERROR(__xludf.DUMMYFUNCTION("""COMPUTED_VALUE"""),"European Symposium on Reliability of Electron Devices Failure Physics and Analysis")</f>
        <v>European Symposium on Reliability of Electron Devices Failure Physics and Analysis</v>
      </c>
      <c r="D62" s="76">
        <f>IFERROR(__xludf.DUMMYFUNCTION("""COMPUTED_VALUE"""),1.0)</f>
        <v>1</v>
      </c>
      <c r="E62" s="59" t="str">
        <f>IFERROR(__xludf.DUMMYFUNCTION("""COMPUTED_VALUE"""),"https://scholar.google.com/scholar?as_q=&amp;as_epq=&amp;as_oq=&amp;as_eq=&amp;as_occt=any&amp;as_sauthors=&amp;as_publication=European+Symposium+on+Reliability+of+Electron+Devices+Failure+Physics+and+Analysis&amp;as_ylo=2020&amp;as_yhi=2024&amp;hl=en&amp;as_sdt=0%2C5")</f>
        <v>https://scholar.google.com/scholar?as_q=&amp;as_epq=&amp;as_oq=&amp;as_eq=&amp;as_occt=any&amp;as_sauthors=&amp;as_publication=European+Symposium+on+Reliability+of+Electron+Devices+Failure+Physics+and+Analysis&amp;as_ylo=2020&amp;as_yhi=2024&amp;hl=en&amp;as_sdt=0%2C5</v>
      </c>
      <c r="F62" s="76"/>
    </row>
    <row r="63">
      <c r="A63" s="68" t="str">
        <f>IFERROR(__xludf.DUMMYFUNCTION("""COMPUTED_VALUE"""),"Eventos da Área")</f>
        <v>Eventos da Área</v>
      </c>
      <c r="B63" s="76" t="str">
        <f>IFERROR(__xludf.DUMMYFUNCTION("""COMPUTED_VALUE"""),"ASAP")</f>
        <v>ASAP</v>
      </c>
      <c r="C63" s="76" t="str">
        <f>IFERROR(__xludf.DUMMYFUNCTION("""COMPUTED_VALUE"""),"IEEE International Conference on Application-specific Systems, Architectures and Processors")</f>
        <v>IEEE International Conference on Application-specific Systems, Architectures and Processors</v>
      </c>
      <c r="D63" s="76">
        <f>IFERROR(__xludf.DUMMYFUNCTION("""COMPUTED_VALUE"""),20.0)</f>
        <v>20</v>
      </c>
      <c r="E63" s="59" t="str">
        <f>IFERROR(__xludf.DUMMYFUNCTION("""COMPUTED_VALUE"""),"https://scholar.google.com/citations?hl=pt-BR&amp;view_op=list_hcore&amp;venue=8awDgn_OhGYJ.2024")</f>
        <v>https://scholar.google.com/citations?hl=pt-BR&amp;view_op=list_hcore&amp;venue=8awDgn_OhGYJ.2024</v>
      </c>
      <c r="F63" s="76"/>
      <c r="I63" s="60" t="str">
        <f>IFERROR(__xludf.DUMMYFUNCTION("""COMPUTED_VALUE"""),"https://dblp.org/db/conf/asap/index.html")</f>
        <v>https://dblp.org/db/conf/asap/index.html</v>
      </c>
    </row>
    <row r="64">
      <c r="A64" s="68"/>
      <c r="B64" s="76"/>
      <c r="C64" s="76" t="str">
        <f>IFERROR(__xludf.DUMMYFUNCTION("""COMPUTED_VALUE"""),"Prezados,")</f>
        <v>Prezados,</v>
      </c>
      <c r="D64" s="76"/>
      <c r="E64" s="76"/>
      <c r="F64" s="76"/>
    </row>
    <row r="65">
      <c r="A65" s="68"/>
      <c r="B65" s="76"/>
      <c r="C65" s="76" t="str">
        <f>IFERROR(__xludf.DUMMYFUNCTION("""COMPUTED_VALUE"""),"Verificamos alguns problemas relacionados ao índice H5 para alguns eventos. Além disso, destacamos algumas considerações sobre o índice H5:")</f>
        <v>Verificamos alguns problemas relacionados ao índice H5 para alguns eventos. Além disso, destacamos algumas considerações sobre o índice H5:</v>
      </c>
      <c r="D65" s="76"/>
      <c r="E65" s="76"/>
      <c r="F65" s="76"/>
    </row>
    <row r="66">
      <c r="A66" s="68"/>
      <c r="C66" t="str">
        <f>IFERROR(__xludf.DUMMYFUNCTION("""COMPUTED_VALUE""")," ")</f>
        <v> </v>
      </c>
    </row>
    <row r="67">
      <c r="A67" s="68"/>
      <c r="C67" t="str">
        <f>IFERROR(__xludf.DUMMYFUNCTION("""COMPUTED_VALUE"""),"1- As conferências que tem best papers publicados em Journal ou como capitulo de livro deveriam ter uma consideração especial, pois muitas referências vão para as versões estendidas publicadas nos journals ou nos livros e o H5 não detecta isto.")</f>
        <v>1- As conferências que tem best papers publicados em Journal ou como capitulo de livro deveriam ter uma consideração especial, pois muitas referências vão para as versões estendidas publicadas nos journals ou nos livros e o H5 não detecta isto.</v>
      </c>
    </row>
    <row r="68">
      <c r="A68" s="68"/>
      <c r="C68" t="str">
        <f>IFERROR(__xludf.DUMMYFUNCTION("""COMPUTED_VALUE"""),"2- Quando um evento é novo ou relativamente novo, o evento ainda não tem um volume de citações, pois sempre demora algum tempo após a publicações para ter um certo volume de citações.")</f>
        <v>2- Quando um evento é novo ou relativamente novo, o evento ainda não tem um volume de citações, pois sempre demora algum tempo após a publicações para ter um certo volume de citações.</v>
      </c>
    </row>
    <row r="69">
      <c r="A69" s="68"/>
      <c r="C69" t="str">
        <f>IFERROR(__xludf.DUMMYFUNCTION("""COMPUTED_VALUE"""),"3- Eventos de alta qualidade, mas em uma área emergente, com uma comunidade de pesquisadores ainda pequeno, tende a ter um H5 baixo.")</f>
        <v>3- Eventos de alta qualidade, mas em uma área emergente, com uma comunidade de pesquisadores ainda pequeno, tende a ter um H5 baixo.</v>
      </c>
    </row>
    <row r="70">
      <c r="A70" s="68"/>
      <c r="C70" t="str">
        <f>IFERROR(__xludf.DUMMYFUNCTION("""COMPUTED_VALUE"""),"3- A lista do Qualis está muito biased pelo índice H5, que não tem nada a ver com qualidade, mas tem muito a ver com tamanho e antiguidade do evento. E muitas faixas do Qualis, incluem poucos valores de H5, por exemplo, para ir de B1 a A4 são apenas 3 val"&amp;"ores de H5 (12 a 15). Se um novo evento organizado por conjunto de Prêmios Nobel fosse realizado, teria um baixo H5, por um certo tempo, por exemplo.")</f>
        <v>3- A lista do Qualis está muito biased pelo índice H5, que não tem nada a ver com qualidade, mas tem muito a ver com tamanho e antiguidade do evento. E muitas faixas do Qualis, incluem poucos valores de H5, por exemplo, para ir de B1 a A4 são apenas 3 valores de H5 (12 a 15). Se um novo evento organizado por conjunto de Prêmios Nobel fosse realizado, teria um baixo H5, por um certo tempo, por exemplo.</v>
      </c>
    </row>
    <row r="71">
      <c r="A71" s="68"/>
    </row>
    <row r="72">
      <c r="A72" s="68"/>
      <c r="C72" t="str">
        <f>IFERROR(__xludf.DUMMYFUNCTION("""COMPUTED_VALUE"""),"Considerações gerais:")</f>
        <v>Considerações gerais:</v>
      </c>
    </row>
    <row r="73">
      <c r="A73" s="68"/>
    </row>
    <row r="74">
      <c r="A74" s="68"/>
      <c r="C74" t="str">
        <f>IFERROR(__xludf.DUMMYFUNCTION("""COMPUTED_VALUE"""),"1- Temos de ter uma estratégia de valorizar as boas conferências que a comunidade tem efetivamente publicado e participado ativamente.")</f>
        <v>1- Temos de ter uma estratégia de valorizar as boas conferências que a comunidade tem efetivamente publicado e participado ativamente.</v>
      </c>
    </row>
    <row r="75">
      <c r="A75" s="68"/>
      <c r="C75" t="str">
        <f>IFERROR(__xludf.DUMMYFUNCTION("""COMPUTED_VALUE"""),"2- Procuramos efetuar uns ajustes procurando Priorizar no Qualis CECCI as conferências que tem efetivamente mais a ver com Computação, EDA, Projeto.")</f>
        <v>2- Procuramos efetuar uns ajustes procurando Priorizar no Qualis CECCI as conferências que tem efetivamente mais a ver com Computação, EDA, Projeto.</v>
      </c>
    </row>
    <row r="76">
      <c r="A76" s="68"/>
      <c r="C76" t="str">
        <f>IFERROR(__xludf.DUMMYFUNCTION("""COMPUTED_VALUE"""),"3- Estendemos que o uso do H5 facilita o processo, mas gera muito erros importantes, sendo que uma ordenação efetuada pelos pares, nas comissões especiais da SBC, certamente tem um número de erros muito menor.")</f>
        <v>3- Estendemos que o uso do H5 facilita o processo, mas gera muito erros importantes, sendo que uma ordenação efetuada pelos pares, nas comissões especiais da SBC, certamente tem um número de erros muito menor.</v>
      </c>
    </row>
    <row r="77">
      <c r="A77" s="68"/>
      <c r="C77" t="str">
        <f>IFERROR(__xludf.DUMMYFUNCTION("""COMPUTED_VALUE"""),"4- Para diversas áreas como em Concepção de Circuitos Integrados, uma lista de TOP20, é muito pequena para incluir todos os eventos de qualidade na área.")</f>
        <v>4- Para diversas áreas como em Concepção de Circuitos Integrados, uma lista de TOP20, é muito pequena para incluir todos os eventos de qualidade na área.</v>
      </c>
    </row>
    <row r="78">
      <c r="A78" s="68"/>
      <c r="C78" t="str">
        <f>IFERROR(__xludf.DUMMYFUNCTION("""COMPUTED_VALUE"""),"5- Esperamos que todos os que estão no TOP20 estejam no Qualis restrito independentemente do H5")</f>
        <v>5- Esperamos que todos os que estão no TOP20 estejam no Qualis restrito independentemente do H5</v>
      </c>
    </row>
    <row r="79">
      <c r="A79" s="68"/>
      <c r="C79" t="str">
        <f>IFERROR(__xludf.DUMMYFUNCTION("""COMPUTED_VALUE"""),"Esperamos que os ajustes propostos pela CECCI sejam considerados na elaboração da versão final do Qualis Conferência.")</f>
        <v>Esperamos que os ajustes propostos pela CECCI sejam considerados na elaboração da versão final do Qualis Conferência.</v>
      </c>
    </row>
    <row r="80">
      <c r="A80" s="68"/>
    </row>
    <row r="81">
      <c r="A81" s="68"/>
    </row>
    <row r="82">
      <c r="A82" s="68"/>
      <c r="C82" t="str">
        <f>IFERROR(__xludf.DUMMYFUNCTION("""COMPUTED_VALUE"""),"Alguns comentários sobre alguns eventos:")</f>
        <v>Alguns comentários sobre alguns eventos:</v>
      </c>
    </row>
    <row r="83">
      <c r="A83" s="68"/>
    </row>
    <row r="84">
      <c r="A84" s="68"/>
      <c r="C84" t="str">
        <f>IFERROR(__xludf.DUMMYFUNCTION("""COMPUTED_VALUE"""),"LASCAS: Conferência internacional da IEEE CASS realizada todos os anos na América Latina, sendo classificada como FLAGSHIP conference da IEEE CASS. Desde a primeira edição tem uma seleção de best papers convidados para terem uma versão estendida a um jour"&amp;"nal, inicialmente era o ALOG da Springer e desde alguns anos na IEEE Transactions on Circuits and Systems I: Regular Papers (fator de impacto 5.2). Sempre tem um dos coordenadores de programa de fora da America Latina, Comitê de Programa Internacional, Ta"&amp;"xa de Aceito na faixa de 40%. Dificilmente terá alto H5 pois muitas das referências vão aos artigos estendidos na TCAS1 e agora na TCAS2.")</f>
        <v>LASCAS: Conferência internacional da IEEE CASS realizada todos os anos na América Latina, sendo classificada como FLAGSHIP conference da IEEE CASS. Desde a primeira edição tem uma seleção de best papers convidados para terem uma versão estendida a um journal, inicialmente era o ALOG da Springer e desde alguns anos na IEEE Transactions on Circuits and Systems I: Regular Papers (fator de impacto 5.2). Sempre tem um dos coordenadores de programa de fora da America Latina, Comitê de Programa Internacional, Taxa de Aceito na faixa de 40%. Dificilmente terá alto H5 pois muitas das referências vão aos artigos estendidos na TCAS1 e agora na TCAS2.</v>
      </c>
    </row>
    <row r="85">
      <c r="A85" s="68"/>
    </row>
    <row r="86">
      <c r="A86" s="68"/>
      <c r="C86" t="str">
        <f>IFERROR(__xludf.DUMMYFUNCTION("""COMPUTED_VALUE"""),"ICECS: Conferência internacional IEEE CASS realizada todos os anos na R8, sendo classificada como FLAGSHIP conference da IEEE CASS. Desde alguns anos tem best papers na IEEE Transactions on Circuits and Systems I: Regular Papers (fator de impacto quase 5."&amp;"2) Sempre tem um bom numero de artigos de pesquisadores brasileiros Dificilmente terá alto H5 pois muitas das referências vão aos artigos estendidos na TCAS1.")</f>
        <v>ICECS: Conferência internacional IEEE CASS realizada todos os anos na R8, sendo classificada como FLAGSHIP conference da IEEE CASS. Desde alguns anos tem best papers na IEEE Transactions on Circuits and Systems I: Regular Papers (fator de impacto quase 5.2) Sempre tem um bom numero de artigos de pesquisadores brasileiros Dificilmente terá alto H5 pois muitas das referências vão aos artigos estendidos na TCAS1.</v>
      </c>
    </row>
    <row r="87">
      <c r="A87" s="68"/>
    </row>
    <row r="88">
      <c r="A88" s="68"/>
      <c r="C88" t="str">
        <f>IFERROR(__xludf.DUMMYFUNCTION("""COMPUTED_VALUE"""),"NEWCAS: Conferência internacional da IEEE CASS realizada todos os anos entre regiões (R8 e R9), sendo classificada como FLAGSHIP conference da IEEE CASS. Desde alguns anos tem best papers na IEEE Transactions on Circuits and Systems I: Regular Papers (fat"&amp;"or de impacto 5.2). Sempre tem um bom numero de artigos de pesquisadores brasileiros. Dificilmente terá alto H5 pois muitas das referências vão aos artigos estendidos na TCAS1.")</f>
        <v>NEWCAS: Conferência internacional da IEEE CASS realizada todos os anos entre regiões (R8 e R9), sendo classificada como FLAGSHIP conference da IEEE CASS. Desde alguns anos tem best papers na IEEE Transactions on Circuits and Systems I: Regular Papers (fator de impacto 5.2). Sempre tem um bom numero de artigos de pesquisadores brasileiros. Dificilmente terá alto H5 pois muitas das referências vão aos artigos estendidos na TCAS1.</v>
      </c>
    </row>
    <row r="89">
      <c r="A89" s="68"/>
    </row>
    <row r="90">
      <c r="A90" s="68"/>
      <c r="C90" t="str">
        <f>IFERROR(__xludf.DUMMYFUNCTION("""COMPUTED_VALUE"""),"IFIP/IEEE VLSI-SoC: Conferência tradicional da IFIP/IEEE. Seleção de Best Papers tem versões estendidas publicadas em livro pela Springer. Dificilmente terá alto H5 pois muitas das referências vão aos artigos estendidos publicados em livros pela Springer "&amp;"Nature. Duas edições já foram realizadas no Brasil. Comitê Internacional. Cada ano em um local diferente do Planeta.")</f>
        <v>IFIP/IEEE VLSI-SoC: Conferência tradicional da IFIP/IEEE. Seleção de Best Papers tem versões estendidas publicadas em livro pela Springer. Dificilmente terá alto H5 pois muitas das referências vão aos artigos estendidos publicados em livros pela Springer Nature. Duas edições já foram realizadas no Brasil. Comitê Internacional. Cada ano em um local diferente do Planeta.</v>
      </c>
    </row>
    <row r="91">
      <c r="A91" s="68"/>
    </row>
    <row r="92">
      <c r="A92" s="68"/>
      <c r="C92" t="str">
        <f>IFERROR(__xludf.DUMMYFUNCTION("""COMPUTED_VALUE"""),"IEEE ISVLSI: IEEE Computer Society Annual Symposium on VLSI, tradicional evento da IEEE Computer Society. Duas edições já foram realizadas no Brasil. Comitê Internacional. Cada ano em um local diferente do Planeta. Normalmente uma seleção de best papers t"&amp;"em uma versão estendida publicada em Journal.")</f>
        <v>IEEE ISVLSI: IEEE Computer Society Annual Symposium on VLSI, tradicional evento da IEEE Computer Society. Duas edições já foram realizadas no Brasil. Comitê Internacional. Cada ano em um local diferente do Planeta. Normalmente uma seleção de best papers tem uma versão estendida publicada em Journal.</v>
      </c>
    </row>
    <row r="93">
      <c r="A93" s="68"/>
    </row>
    <row r="94">
      <c r="A94" s="68"/>
      <c r="C94" t="str">
        <f>IFERROR(__xludf.DUMMYFUNCTION("""COMPUTED_VALUE"""),"MWSCAS: IEEE International Midwest Symposium on Circuits and Systems. Conferência internacional IEEE CASS realizada todos os anos normalmente na R1-7, sendo classificada recentemente como FLAGSHIP conference da IEEE CASS. Desde alguns anos tem best papers"&amp;" na IEEE Transactions on Circuits and Systems I: Regular Papers (fator de impacto 5.2). Tem tido um bom numero de artigos de pesquisadores brasileiros. Dificilmente terá alto H5 pois muitas das referências vão aos artigos estendidos na TCAS1.")</f>
        <v>MWSCAS: IEEE International Midwest Symposium on Circuits and Systems. Conferência internacional IEEE CASS realizada todos os anos normalmente na R1-7, sendo classificada recentemente como FLAGSHIP conference da IEEE CASS. Desde alguns anos tem best papers na IEEE Transactions on Circuits and Systems I: Regular Papers (fator de impacto 5.2). Tem tido um bom numero de artigos de pesquisadores brasileiros. Dificilmente terá alto H5 pois muitas das referências vão aos artigos estendidos na TCAS1.</v>
      </c>
    </row>
    <row r="95">
      <c r="A95" s="68"/>
    </row>
    <row r="96">
      <c r="A96" s="68"/>
      <c r="C96" t="str">
        <f>IFERROR(__xludf.DUMMYFUNCTION("""COMPUTED_VALUE"""),"ESREF: European Symposium on Reliability of Electron Devices Failure Physics and Analysis (índice restrito) Os artigos são publicados em um journal do índice restrito: Microelectronics Reliability, por isto nunca terá H5 e nem terá classificação no Qualis"&amp;" de conferências.")</f>
        <v>ESREF: European Symposium on Reliability of Electron Devices Failure Physics and Analysis (índice restrito) Os artigos são publicados em um journal do índice restrito: Microelectronics Reliability, por isto nunca terá H5 e nem terá classificação no Qualis de conferências.</v>
      </c>
    </row>
    <row r="97">
      <c r="A97" s="68"/>
    </row>
    <row r="98">
      <c r="A98" s="68"/>
    </row>
    <row r="99">
      <c r="A99" s="68"/>
    </row>
    <row r="100">
      <c r="A100" s="68"/>
    </row>
    <row r="101">
      <c r="A101" s="68"/>
    </row>
    <row r="102">
      <c r="A102" s="68"/>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E10"/>
    <hyperlink r:id="rId18" ref="I10"/>
    <hyperlink r:id="rId19" ref="E11"/>
    <hyperlink r:id="rId20" ref="I11"/>
    <hyperlink r:id="rId21" ref="E12"/>
    <hyperlink r:id="rId22" ref="I12"/>
    <hyperlink r:id="rId23" ref="E13"/>
    <hyperlink r:id="rId24" ref="I13"/>
    <hyperlink r:id="rId25" ref="E14"/>
    <hyperlink r:id="rId26" ref="I14"/>
    <hyperlink r:id="rId27" ref="E15"/>
    <hyperlink r:id="rId28" ref="I15"/>
    <hyperlink r:id="rId29" ref="E16"/>
    <hyperlink r:id="rId30" ref="I16"/>
    <hyperlink r:id="rId31" ref="E17"/>
    <hyperlink r:id="rId32" ref="I17"/>
    <hyperlink r:id="rId33" ref="E18"/>
    <hyperlink r:id="rId34" ref="E19"/>
    <hyperlink r:id="rId35" ref="I19"/>
    <hyperlink r:id="rId36" ref="E20"/>
    <hyperlink r:id="rId37" ref="I20"/>
    <hyperlink r:id="rId38" ref="E21"/>
    <hyperlink r:id="rId39" ref="I21"/>
    <hyperlink r:id="rId40" ref="E22"/>
    <hyperlink r:id="rId41" ref="E23"/>
    <hyperlink r:id="rId42" ref="I23"/>
    <hyperlink r:id="rId43" ref="E24"/>
    <hyperlink r:id="rId44" ref="I24"/>
    <hyperlink r:id="rId45" ref="E25"/>
    <hyperlink r:id="rId46" ref="I25"/>
    <hyperlink r:id="rId47" ref="E26"/>
    <hyperlink r:id="rId48" ref="I26"/>
    <hyperlink r:id="rId49" ref="E27"/>
    <hyperlink r:id="rId50" ref="I27"/>
    <hyperlink r:id="rId51" ref="E28"/>
    <hyperlink r:id="rId52" ref="E29"/>
    <hyperlink r:id="rId53" ref="I29"/>
    <hyperlink r:id="rId54" ref="E30"/>
    <hyperlink r:id="rId55" ref="I30"/>
    <hyperlink r:id="rId56" ref="E31"/>
    <hyperlink r:id="rId57" ref="I31"/>
    <hyperlink r:id="rId58" ref="E32"/>
    <hyperlink r:id="rId59" ref="I32"/>
    <hyperlink r:id="rId60" ref="E33"/>
    <hyperlink r:id="rId61" ref="I33"/>
    <hyperlink r:id="rId62" ref="E34"/>
    <hyperlink r:id="rId63" ref="I34"/>
    <hyperlink r:id="rId64" ref="E35"/>
    <hyperlink r:id="rId65" ref="I35"/>
    <hyperlink r:id="rId66" ref="E36"/>
    <hyperlink r:id="rId67" ref="I36"/>
    <hyperlink r:id="rId68" ref="E37"/>
    <hyperlink r:id="rId69" ref="I37"/>
    <hyperlink r:id="rId70" ref="E38"/>
    <hyperlink r:id="rId71" ref="I38"/>
    <hyperlink r:id="rId72" ref="E39"/>
    <hyperlink r:id="rId73" ref="I39"/>
    <hyperlink r:id="rId74" ref="E40"/>
    <hyperlink r:id="rId75" ref="I40"/>
    <hyperlink r:id="rId76" ref="E41"/>
    <hyperlink r:id="rId77" ref="I41"/>
    <hyperlink r:id="rId78" ref="E42"/>
    <hyperlink r:id="rId79" ref="I42"/>
    <hyperlink r:id="rId80" ref="E43"/>
    <hyperlink r:id="rId81" ref="I43"/>
    <hyperlink r:id="rId82" ref="E44"/>
    <hyperlink r:id="rId83" ref="I44"/>
    <hyperlink r:id="rId84" ref="E45"/>
    <hyperlink r:id="rId85" ref="I45"/>
    <hyperlink r:id="rId86" ref="E46"/>
    <hyperlink r:id="rId87" ref="I46"/>
    <hyperlink r:id="rId88" ref="E47"/>
    <hyperlink r:id="rId89" ref="I47"/>
    <hyperlink r:id="rId90" ref="E48"/>
    <hyperlink r:id="rId91" ref="I48"/>
    <hyperlink r:id="rId92" ref="E49"/>
    <hyperlink r:id="rId93" ref="I49"/>
    <hyperlink r:id="rId94" ref="I50"/>
    <hyperlink r:id="rId95" ref="E51"/>
    <hyperlink r:id="rId96" ref="I51"/>
    <hyperlink r:id="rId97" ref="E52"/>
    <hyperlink r:id="rId98" ref="E53"/>
    <hyperlink r:id="rId99" ref="I53"/>
    <hyperlink r:id="rId100" ref="E55"/>
    <hyperlink r:id="rId101" ref="I55"/>
    <hyperlink r:id="rId102" ref="I57"/>
    <hyperlink r:id="rId103" location="d=gs_hdr_drw&amp;t=1730925881163" ref="E58"/>
    <hyperlink r:id="rId104" ref="E60"/>
    <hyperlink r:id="rId105" ref="E61"/>
    <hyperlink r:id="rId106" ref="I61"/>
    <hyperlink r:id="rId107" ref="E62"/>
    <hyperlink r:id="rId108" ref="E63"/>
    <hyperlink r:id="rId109" ref="I63"/>
  </hyperlinks>
  <drawing r:id="rId110"/>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75"/>
    <col customWidth="1" min="3" max="3" width="51.13"/>
    <col customWidth="1" min="5" max="5" width="71.25"/>
    <col customWidth="1" min="6" max="6" width="14.75"/>
    <col customWidth="1" min="7" max="7" width="37.25"/>
    <col customWidth="1" min="8" max="8" width="33.0"/>
    <col customWidth="1" min="9" max="9" width="33.88"/>
    <col customWidth="1" min="10" max="10" width="32.0"/>
  </cols>
  <sheetData>
    <row r="1">
      <c r="A1" s="1" t="str">
        <f>IFERROR(__xludf.DUMMYFUNCTION("importrange(""https://docs.google.com/spreadsheets/d/1Pfx0jtE7jnrtQzxPkhrVGn4L-PycwERRVzC9oRyrB1g/edit#gid=910792940"",""CE-ESC!A1:J150"")"),"TOP")</f>
        <v>TOP</v>
      </c>
      <c r="B1" s="78" t="str">
        <f>IFERROR(__xludf.DUMMYFUNCTION("""COMPUTED_VALUE"""),"SIGLA")</f>
        <v>SIGLA</v>
      </c>
      <c r="C1" s="78" t="str">
        <f>IFERROR(__xludf.DUMMYFUNCTION("""COMPUTED_VALUE"""),"NOME")</f>
        <v>NOME</v>
      </c>
      <c r="D1" s="78"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1" t="str">
        <f>IFERROR(__xludf.DUMMYFUNCTION("""COMPUTED_VALUE"""),"Top 10")</f>
        <v>Top 10</v>
      </c>
      <c r="B2" s="78" t="str">
        <f>IFERROR(__xludf.DUMMYFUNCTION("""COMPUTED_VALUE"""),"DAC")</f>
        <v>DAC</v>
      </c>
      <c r="C2" s="78" t="str">
        <f>IFERROR(__xludf.DUMMYFUNCTION("""COMPUTED_VALUE"""),"Design Automation Conference")</f>
        <v>Design Automation Conference</v>
      </c>
      <c r="D2" s="78">
        <f>IFERROR(__xludf.DUMMYFUNCTION("""COMPUTED_VALUE"""),60.0)</f>
        <v>60</v>
      </c>
      <c r="E2" s="59" t="str">
        <f>IFERROR(__xludf.DUMMYFUNCTION("""COMPUTED_VALUE"""),"https://scholar.google.com/citations?hl=en&amp;view_op=list_hcore&amp;venue=LMgtaHBu8WIJ.2024")</f>
        <v>https://scholar.google.com/citations?hl=en&amp;view_op=list_hcore&amp;venue=LMgtaHBu8WIJ.2024</v>
      </c>
      <c r="F2" s="1"/>
      <c r="G2" s="2"/>
      <c r="H2" s="2" t="str">
        <f>IFERROR(__xludf.DUMMYFUNCTION("""COMPUTED_VALUE"""),"ACM/IEEE Design Automation Conference")</f>
        <v>ACM/IEEE Design Automation Conference</v>
      </c>
      <c r="I2" s="79" t="str">
        <f>IFERROR(__xludf.DUMMYFUNCTION("""COMPUTED_VALUE"""),"https://dblp.org/db/conf/dac/index.html")</f>
        <v>https://dblp.org/db/conf/dac/index.html</v>
      </c>
      <c r="J2" s="2"/>
      <c r="K2" s="2"/>
      <c r="L2" s="2"/>
      <c r="M2" s="2"/>
      <c r="N2" s="2"/>
      <c r="O2" s="2"/>
      <c r="P2" s="2"/>
      <c r="Q2" s="2"/>
      <c r="R2" s="2"/>
      <c r="S2" s="2"/>
      <c r="T2" s="2"/>
      <c r="U2" s="2"/>
      <c r="V2" s="2"/>
      <c r="W2" s="2"/>
      <c r="X2" s="2"/>
      <c r="Y2" s="2"/>
      <c r="Z2" s="2"/>
    </row>
    <row r="3">
      <c r="A3" s="80" t="str">
        <f>IFERROR(__xludf.DUMMYFUNCTION("""COMPUTED_VALUE"""),"Top 10")</f>
        <v>Top 10</v>
      </c>
      <c r="B3" s="81" t="str">
        <f>IFERROR(__xludf.DUMMYFUNCTION("""COMPUTED_VALUE"""),"EUROSYS")</f>
        <v>EUROSYS</v>
      </c>
      <c r="C3" s="82" t="str">
        <f>IFERROR(__xludf.DUMMYFUNCTION("""COMPUTED_VALUE"""),"European Conference on Computer Systems")</f>
        <v>European Conference on Computer Systems</v>
      </c>
      <c r="D3" s="83">
        <f>IFERROR(__xludf.DUMMYFUNCTION("""COMPUTED_VALUE"""),48.0)</f>
        <v>48</v>
      </c>
      <c r="E3" s="59" t="str">
        <f>IFERROR(__xludf.DUMMYFUNCTION("""COMPUTED_VALUE"""),"https://scholar.google.com/citations?hl=en&amp;view_op=list_hcore&amp;venue=8LhhnAnPYO8J.2024")</f>
        <v>https://scholar.google.com/citations?hl=en&amp;view_op=list_hcore&amp;venue=8LhhnAnPYO8J.2024</v>
      </c>
      <c r="F3" s="57"/>
      <c r="I3" s="60" t="str">
        <f>IFERROR(__xludf.DUMMYFUNCTION("""COMPUTED_VALUE"""),"https://dblp.org/db/conf/eurosys/index.html")</f>
        <v>https://dblp.org/db/conf/eurosys/index.html</v>
      </c>
    </row>
    <row r="4">
      <c r="A4" s="80" t="str">
        <f>IFERROR(__xludf.DUMMYFUNCTION("""COMPUTED_VALUE"""),"Top 10")</f>
        <v>Top 10</v>
      </c>
      <c r="B4" s="81" t="str">
        <f>IFERROR(__xludf.DUMMYFUNCTION("""COMPUTED_VALUE"""),"DATE")</f>
        <v>DATE</v>
      </c>
      <c r="C4" s="81" t="str">
        <f>IFERROR(__xludf.DUMMYFUNCTION("""COMPUTED_VALUE"""),"Design, Automation and Test in Europe Conference and Exhibition")</f>
        <v>Design, Automation and Test in Europe Conference and Exhibition</v>
      </c>
      <c r="D4" s="83">
        <f>IFERROR(__xludf.DUMMYFUNCTION("""COMPUTED_VALUE"""),46.0)</f>
        <v>46</v>
      </c>
      <c r="E4" s="59" t="str">
        <f>IFERROR(__xludf.DUMMYFUNCTION("""COMPUTED_VALUE"""),"https://scholar.google.com/citations?hl=en&amp;view_op=list_hcore&amp;venue=cP2AyDfWCcQJ.2024")</f>
        <v>https://scholar.google.com/citations?hl=en&amp;view_op=list_hcore&amp;venue=cP2AyDfWCcQJ.2024</v>
      </c>
      <c r="F4" s="57"/>
      <c r="I4" s="60" t="str">
        <f>IFERROR(__xludf.DUMMYFUNCTION("""COMPUTED_VALUE"""),"https://dblp.org/db/conf/date/index.html")</f>
        <v>https://dblp.org/db/conf/date/index.html</v>
      </c>
    </row>
    <row r="5">
      <c r="A5" s="80" t="str">
        <f>IFERROR(__xludf.DUMMYFUNCTION("""COMPUTED_VALUE"""),"Top 10")</f>
        <v>Top 10</v>
      </c>
      <c r="B5" s="81" t="str">
        <f>IFERROR(__xludf.DUMMYFUNCTION("""COMPUTED_VALUE"""),"FPGA")</f>
        <v>FPGA</v>
      </c>
      <c r="C5" s="81" t="str">
        <f>IFERROR(__xludf.DUMMYFUNCTION("""COMPUTED_VALUE"""),"Symposium on Field Programmable Gate Arrays")</f>
        <v>Symposium on Field Programmable Gate Arrays</v>
      </c>
      <c r="D5" s="83">
        <f>IFERROR(__xludf.DUMMYFUNCTION("""COMPUTED_VALUE"""),40.0)</f>
        <v>40</v>
      </c>
      <c r="E5" s="59" t="str">
        <f>IFERROR(__xludf.DUMMYFUNCTION("""COMPUTED_VALUE"""),"https://scholar.google.com/citations?hl=en&amp;view_op=list_hcore&amp;venue=X39h_ye2QL4J.2024")</f>
        <v>https://scholar.google.com/citations?hl=en&amp;view_op=list_hcore&amp;venue=X39h_ye2QL4J.2024</v>
      </c>
      <c r="F5" s="57"/>
      <c r="H5" t="str">
        <f>IFERROR(__xludf.DUMMYFUNCTION("""COMPUTED_VALUE"""),"ACM/SIGDA International Symposium on Field-Programmable Gate Arrays")</f>
        <v>ACM/SIGDA International Symposium on Field-Programmable Gate Arrays</v>
      </c>
      <c r="I5" s="60" t="str">
        <f>IFERROR(__xludf.DUMMYFUNCTION("""COMPUTED_VALUE"""),"https://dblp.org/db/conf/fpga/index.html")</f>
        <v>https://dblp.org/db/conf/fpga/index.html</v>
      </c>
    </row>
    <row r="6">
      <c r="A6" s="80" t="str">
        <f>IFERROR(__xludf.DUMMYFUNCTION("""COMPUTED_VALUE"""),"Top 10")</f>
        <v>Top 10</v>
      </c>
      <c r="B6" s="81" t="str">
        <f>IFERROR(__xludf.DUMMYFUNCTION("""COMPUTED_VALUE"""),"ASP-DAC")</f>
        <v>ASP-DAC</v>
      </c>
      <c r="C6" s="81" t="str">
        <f>IFERROR(__xludf.DUMMYFUNCTION("""COMPUTED_VALUE"""),"Asia and South Pacific Design Automation Conference ")</f>
        <v>Asia and South Pacific Design Automation Conference </v>
      </c>
      <c r="D6" s="83">
        <f>IFERROR(__xludf.DUMMYFUNCTION("""COMPUTED_VALUE"""),38.0)</f>
        <v>38</v>
      </c>
      <c r="E6" s="59" t="str">
        <f>IFERROR(__xludf.DUMMYFUNCTION("""COMPUTED_VALUE"""),"https://scholar.google.com/citations?hl=en&amp;view_op=list_hcore&amp;venue=4OI7pMNBopQJ.2024")</f>
        <v>https://scholar.google.com/citations?hl=en&amp;view_op=list_hcore&amp;venue=4OI7pMNBopQJ.2024</v>
      </c>
      <c r="F6" s="57"/>
      <c r="I6" s="60" t="str">
        <f>IFERROR(__xludf.DUMMYFUNCTION("""COMPUTED_VALUE"""),"https://dblp.org/db/conf/aspdac/index.html")</f>
        <v>https://dblp.org/db/conf/aspdac/index.html</v>
      </c>
    </row>
    <row r="7">
      <c r="A7" s="80" t="str">
        <f>IFERROR(__xludf.DUMMYFUNCTION("""COMPUTED_VALUE"""),"Top 10")</f>
        <v>Top 10</v>
      </c>
      <c r="B7" s="84" t="str">
        <f>IFERROR(__xludf.DUMMYFUNCTION("""COMPUTED_VALUE"""),"FPL")</f>
        <v>FPL</v>
      </c>
      <c r="C7" s="81" t="str">
        <f>IFERROR(__xludf.DUMMYFUNCTION("""COMPUTED_VALUE"""),"International Conference on Field Programmable Logic and Applications")</f>
        <v>International Conference on Field Programmable Logic and Applications</v>
      </c>
      <c r="D7" s="83">
        <f>IFERROR(__xludf.DUMMYFUNCTION("""COMPUTED_VALUE"""),28.0)</f>
        <v>28</v>
      </c>
      <c r="E7" s="59" t="str">
        <f>IFERROR(__xludf.DUMMYFUNCTION("""COMPUTED_VALUE"""),"https://scholar.google.com/citations?hl=en&amp;view_op=list_hcore&amp;venue=7JfwVbgjkZUJ.2024")</f>
        <v>https://scholar.google.com/citations?hl=en&amp;view_op=list_hcore&amp;venue=7JfwVbgjkZUJ.2024</v>
      </c>
      <c r="F7" s="57"/>
      <c r="I7" s="60" t="str">
        <f>IFERROR(__xludf.DUMMYFUNCTION("""COMPUTED_VALUE"""),"https://dblp.org/db/conf/fpl/index.html")</f>
        <v>https://dblp.org/db/conf/fpl/index.html</v>
      </c>
    </row>
    <row r="8">
      <c r="A8" s="80" t="str">
        <f>IFERROR(__xludf.DUMMYFUNCTION("""COMPUTED_VALUE"""),"Top 10")</f>
        <v>Top 10</v>
      </c>
      <c r="B8" s="81" t="str">
        <f>IFERROR(__xludf.DUMMYFUNCTION("""COMPUTED_VALUE"""),"RTAS")</f>
        <v>RTAS</v>
      </c>
      <c r="C8" s="81" t="str">
        <f>IFERROR(__xludf.DUMMYFUNCTION("""COMPUTED_VALUE"""),"IEEE REAL-TIME AND EMBEDDED TECHNOLOGY AND APPLICATIONS SYMPOSIUM")</f>
        <v>IEEE REAL-TIME AND EMBEDDED TECHNOLOGY AND APPLICATIONS SYMPOSIUM</v>
      </c>
      <c r="D8" s="83">
        <f>IFERROR(__xludf.DUMMYFUNCTION("""COMPUTED_VALUE"""),28.0)</f>
        <v>28</v>
      </c>
      <c r="E8" s="59" t="str">
        <f>IFERROR(__xludf.DUMMYFUNCTION("""COMPUTED_VALUE"""),"https://scholar.google.com/citations?hl=en&amp;view_op=list_hcore&amp;venue=2YPqFanDRcAJ.2024")</f>
        <v>https://scholar.google.com/citations?hl=en&amp;view_op=list_hcore&amp;venue=2YPqFanDRcAJ.2024</v>
      </c>
      <c r="F8" s="57"/>
      <c r="I8" s="60" t="str">
        <f>IFERROR(__xludf.DUMMYFUNCTION("""COMPUTED_VALUE"""),"https://dblp.org/db/conf/rtas/index.html")</f>
        <v>https://dblp.org/db/conf/rtas/index.html</v>
      </c>
    </row>
    <row r="9">
      <c r="A9" s="80" t="str">
        <f>IFERROR(__xludf.DUMMYFUNCTION("""COMPUTED_VALUE"""),"Top 10")</f>
        <v>Top 10</v>
      </c>
      <c r="B9" s="81" t="str">
        <f>IFERROR(__xludf.DUMMYFUNCTION("""COMPUTED_VALUE"""),"RTSS")</f>
        <v>RTSS</v>
      </c>
      <c r="C9" s="81" t="str">
        <f>IFERROR(__xludf.DUMMYFUNCTION("""COMPUTED_VALUE"""),"Real-Time Systems Symposium")</f>
        <v>Real-Time Systems Symposium</v>
      </c>
      <c r="D9" s="83">
        <f>IFERROR(__xludf.DUMMYFUNCTION("""COMPUTED_VALUE"""),20.0)</f>
        <v>20</v>
      </c>
      <c r="E9" s="59" t="str">
        <f>IFERROR(__xludf.DUMMYFUNCTION("""COMPUTED_VALUE"""),"https://scholar.google.com/citations?hl=en&amp;view_op=list_hcore&amp;venue=qvvrZOpbLHgJ.2024")</f>
        <v>https://scholar.google.com/citations?hl=en&amp;view_op=list_hcore&amp;venue=qvvrZOpbLHgJ.2024</v>
      </c>
      <c r="F9" s="57"/>
      <c r="H9" t="str">
        <f>IFERROR(__xludf.DUMMYFUNCTION("""COMPUTED_VALUE"""),"IEEE International Real-Time Systems Symposium")</f>
        <v>IEEE International Real-Time Systems Symposium</v>
      </c>
      <c r="I9" s="60" t="str">
        <f>IFERROR(__xludf.DUMMYFUNCTION("""COMPUTED_VALUE"""),"https://dblp.org/db/conf/rtss/index.html")</f>
        <v>https://dblp.org/db/conf/rtss/index.html</v>
      </c>
    </row>
    <row r="10">
      <c r="A10" s="80" t="str">
        <f>IFERROR(__xludf.DUMMYFUNCTION("""COMPUTED_VALUE"""),"Top 10")</f>
        <v>Top 10</v>
      </c>
      <c r="B10" s="81" t="str">
        <f>IFERROR(__xludf.DUMMYFUNCTION("""COMPUTED_VALUE"""),"ECRTS")</f>
        <v>ECRTS</v>
      </c>
      <c r="C10" s="81" t="str">
        <f>IFERROR(__xludf.DUMMYFUNCTION("""COMPUTED_VALUE"""),"Euromicro Conference on Real-Time Systems")</f>
        <v>Euromicro Conference on Real-Time Systems</v>
      </c>
      <c r="D10" s="83">
        <f>IFERROR(__xludf.DUMMYFUNCTION("""COMPUTED_VALUE"""),21.0)</f>
        <v>21</v>
      </c>
      <c r="E10" s="59" t="str">
        <f>IFERROR(__xludf.DUMMYFUNCTION("""COMPUTED_VALUE"""),"https://scholar.google.com/citations?hl=en&amp;view_op=list_hcore&amp;venue=TjHsSEvIdkIJ.2024")</f>
        <v>https://scholar.google.com/citations?hl=en&amp;view_op=list_hcore&amp;venue=TjHsSEvIdkIJ.2024</v>
      </c>
      <c r="F10" s="57"/>
      <c r="I10" s="60" t="str">
        <f>IFERROR(__xludf.DUMMYFUNCTION("""COMPUTED_VALUE"""),"https://dblp.org/db/conf/ecrts/index.html")</f>
        <v>https://dblp.org/db/conf/ecrts/index.html</v>
      </c>
    </row>
    <row r="11">
      <c r="A11" s="80" t="str">
        <f>IFERROR(__xludf.DUMMYFUNCTION("""COMPUTED_VALUE"""),"Top 10")</f>
        <v>Top 10</v>
      </c>
      <c r="B11" s="81" t="str">
        <f>IFERROR(__xludf.DUMMYFUNCTION("""COMPUTED_VALUE"""),"SBESC")</f>
        <v>SBESC</v>
      </c>
      <c r="C11" s="81" t="str">
        <f>IFERROR(__xludf.DUMMYFUNCTION("""COMPUTED_VALUE"""),"Brazilian Symposium on Computing System Engineering")</f>
        <v>Brazilian Symposium on Computing System Engineering</v>
      </c>
      <c r="D11" s="83">
        <f>IFERROR(__xludf.DUMMYFUNCTION("""COMPUTED_VALUE"""),9.0)</f>
        <v>9</v>
      </c>
      <c r="E11" s="59" t="str">
        <f>IFERROR(__xludf.DUMMYFUNCTION("""COMPUTED_VALUE"""),"https://scholar.google.com/citations?hl=en&amp;view_op=list_hcore&amp;venue=EA9qTFRFeoUJ.2024")</f>
        <v>https://scholar.google.com/citations?hl=en&amp;view_op=list_hcore&amp;venue=EA9qTFRFeoUJ.2024</v>
      </c>
      <c r="F11" s="57"/>
      <c r="G11" t="str">
        <f>IFERROR(__xludf.DUMMYFUNCTION("""COMPUTED_VALUE"""),"Symposium on Computing Systems Engineering")</f>
        <v>Symposium on Computing Systems Engineering</v>
      </c>
      <c r="I11" s="60" t="str">
        <f>IFERROR(__xludf.DUMMYFUNCTION("""COMPUTED_VALUE"""),"https://dblp.org/db/conf/sbesc/index.html")</f>
        <v>https://dblp.org/db/conf/sbesc/index.html</v>
      </c>
    </row>
    <row r="12">
      <c r="A12" s="80" t="str">
        <f>IFERROR(__xludf.DUMMYFUNCTION("""COMPUTED_VALUE"""),"Top 20")</f>
        <v>Top 20</v>
      </c>
      <c r="B12" s="85" t="str">
        <f>IFERROR(__xludf.DUMMYFUNCTION("""COMPUTED_VALUE"""),"ETFA")</f>
        <v>ETFA</v>
      </c>
      <c r="C12" s="85" t="str">
        <f>IFERROR(__xludf.DUMMYFUNCTION("""COMPUTED_VALUE"""),"IEEE International Conference on Emerging Technologies and Factory Automation")</f>
        <v>IEEE International Conference on Emerging Technologies and Factory Automation</v>
      </c>
      <c r="D12" s="86">
        <f>IFERROR(__xludf.DUMMYFUNCTION("""COMPUTED_VALUE"""),34.0)</f>
        <v>34</v>
      </c>
      <c r="E12" s="59" t="str">
        <f>IFERROR(__xludf.DUMMYFUNCTION("""COMPUTED_VALUE"""),"https://scholar.google.com/citations?hl=en&amp;view_op=list_hcore&amp;venue=oGDa9y0RKw8J.2024")</f>
        <v>https://scholar.google.com/citations?hl=en&amp;view_op=list_hcore&amp;venue=oGDa9y0RKw8J.2024</v>
      </c>
      <c r="F12" s="55"/>
      <c r="H12" t="str">
        <f>IFERROR(__xludf.DUMMYFUNCTION("""COMPUTED_VALUE"""),"IEEE Conference on Emerging Technologies &amp; Factory Automation (ETFA)")</f>
        <v>IEEE Conference on Emerging Technologies &amp; Factory Automation (ETFA)</v>
      </c>
      <c r="I12" s="60" t="str">
        <f>IFERROR(__xludf.DUMMYFUNCTION("""COMPUTED_VALUE"""),"https://dblp.org/db/conf/etfa/index.html")</f>
        <v>https://dblp.org/db/conf/etfa/index.html</v>
      </c>
    </row>
    <row r="13">
      <c r="A13" s="87" t="str">
        <f>IFERROR(__xludf.DUMMYFUNCTION("""COMPUTED_VALUE"""),"Top 20")</f>
        <v>Top 20</v>
      </c>
      <c r="B13" s="81" t="str">
        <f>IFERROR(__xludf.DUMMYFUNCTION("""COMPUTED_VALUE"""),"WF-IoT")</f>
        <v>WF-IoT</v>
      </c>
      <c r="C13" s="81" t="str">
        <f>IFERROR(__xludf.DUMMYFUNCTION("""COMPUTED_VALUE"""),"IEEE World Forum on Internet of Things")</f>
        <v>IEEE World Forum on Internet of Things</v>
      </c>
      <c r="D13" s="83">
        <f>IFERROR(__xludf.DUMMYFUNCTION("""COMPUTED_VALUE"""),32.0)</f>
        <v>32</v>
      </c>
      <c r="E13" s="59" t="str">
        <f>IFERROR(__xludf.DUMMYFUNCTION("""COMPUTED_VALUE"""),"https://scholar.google.com/citations?hl=en&amp;view_op=list_hcore&amp;venue=gSjQo1cwB88J.2024")</f>
        <v>https://scholar.google.com/citations?hl=en&amp;view_op=list_hcore&amp;venue=gSjQo1cwB88J.2024</v>
      </c>
      <c r="F13" s="57"/>
      <c r="I13" s="60" t="str">
        <f>IFERROR(__xludf.DUMMYFUNCTION("""COMPUTED_VALUE"""),"https://dblp.org/db/conf/wf-iot/index.html")</f>
        <v>https://dblp.org/db/conf/wf-iot/index.html</v>
      </c>
    </row>
    <row r="14">
      <c r="A14" s="87" t="str">
        <f>IFERROR(__xludf.DUMMYFUNCTION("""COMPUTED_VALUE"""),"Top 20")</f>
        <v>Top 20</v>
      </c>
      <c r="B14" s="81" t="str">
        <f>IFERROR(__xludf.DUMMYFUNCTION("""COMPUTED_VALUE"""),"FCCM")</f>
        <v>FCCM</v>
      </c>
      <c r="C14" s="81" t="str">
        <f>IFERROR(__xludf.DUMMYFUNCTION("""COMPUTED_VALUE"""),"IEEE Annual Symposium on Field-Programmable Custom Computing Machines")</f>
        <v>IEEE Annual Symposium on Field-Programmable Custom Computing Machines</v>
      </c>
      <c r="D14" s="83">
        <f>IFERROR(__xludf.DUMMYFUNCTION("""COMPUTED_VALUE"""),28.0)</f>
        <v>28</v>
      </c>
      <c r="E14" s="59" t="str">
        <f>IFERROR(__xludf.DUMMYFUNCTION("""COMPUTED_VALUE"""),"https://scholar.google.com/citations?hl=en&amp;view_op=list_hcore&amp;venue=uLGTNGzfRS0J.2024")</f>
        <v>https://scholar.google.com/citations?hl=en&amp;view_op=list_hcore&amp;venue=uLGTNGzfRS0J.2024</v>
      </c>
      <c r="F14" s="57"/>
      <c r="H14" t="str">
        <f>IFERROR(__xludf.DUMMYFUNCTION("""COMPUTED_VALUE"""),"IEEE International Symposium on Field-Programmable Custom Computing Machines")</f>
        <v>IEEE International Symposium on Field-Programmable Custom Computing Machines</v>
      </c>
      <c r="I14" s="60" t="str">
        <f>IFERROR(__xludf.DUMMYFUNCTION("""COMPUTED_VALUE"""),"https://dblp.org/db/conf/fccm/index.html")</f>
        <v>https://dblp.org/db/conf/fccm/index.html</v>
      </c>
    </row>
    <row r="15">
      <c r="A15" s="87" t="str">
        <f>IFERROR(__xludf.DUMMYFUNCTION("""COMPUTED_VALUE"""),"Top 20")</f>
        <v>Top 20</v>
      </c>
      <c r="B15" s="81" t="str">
        <f>IFERROR(__xludf.DUMMYFUNCTION("""COMPUTED_VALUE"""),"ICCPS")</f>
        <v>ICCPS</v>
      </c>
      <c r="C15" s="81" t="str">
        <f>IFERROR(__xludf.DUMMYFUNCTION("""COMPUTED_VALUE"""),"International Conference on Cyber-Physical Systems")</f>
        <v>International Conference on Cyber-Physical Systems</v>
      </c>
      <c r="D15" s="83">
        <f>IFERROR(__xludf.DUMMYFUNCTION("""COMPUTED_VALUE"""),23.0)</f>
        <v>23</v>
      </c>
      <c r="E15" s="59" t="str">
        <f>IFERROR(__xludf.DUMMYFUNCTION("""COMPUTED_VALUE"""),"https://scholar.google.com/citations?hl=en&amp;view_op=list_hcore&amp;venue=GtwA7m_XqZUJ.2024")</f>
        <v>https://scholar.google.com/citations?hl=en&amp;view_op=list_hcore&amp;venue=GtwA7m_XqZUJ.2024</v>
      </c>
      <c r="F15" s="57"/>
      <c r="H15" t="str">
        <f>IFERROR(__xludf.DUMMYFUNCTION("""COMPUTED_VALUE"""),"ACM/IEEE International Conference on Cyber-Physical Systems, ICCPS 2024")</f>
        <v>ACM/IEEE International Conference on Cyber-Physical Systems, ICCPS 2024</v>
      </c>
      <c r="I15" s="60" t="str">
        <f>IFERROR(__xludf.DUMMYFUNCTION("""COMPUTED_VALUE"""),"https://dblp.org/db/conf/iccps/index.html")</f>
        <v>https://dblp.org/db/conf/iccps/index.html</v>
      </c>
    </row>
    <row r="16">
      <c r="A16" s="87" t="str">
        <f>IFERROR(__xludf.DUMMYFUNCTION("""COMPUTED_VALUE"""),"Top 20")</f>
        <v>Top 20</v>
      </c>
      <c r="B16" s="81" t="str">
        <f>IFERROR(__xludf.DUMMYFUNCTION("""COMPUTED_VALUE"""),"ISVLSI")</f>
        <v>ISVLSI</v>
      </c>
      <c r="C16" s="81" t="str">
        <f>IFERROR(__xludf.DUMMYFUNCTION("""COMPUTED_VALUE"""),"IEEE Computer Society Annual Symposium on VLSI")</f>
        <v>IEEE Computer Society Annual Symposium on VLSI</v>
      </c>
      <c r="D16" s="83">
        <f>IFERROR(__xludf.DUMMYFUNCTION("""COMPUTED_VALUE"""),22.0)</f>
        <v>22</v>
      </c>
      <c r="E16" s="59" t="str">
        <f>IFERROR(__xludf.DUMMYFUNCTION("""COMPUTED_VALUE"""),"https://scholar.google.com/citations?hl=en&amp;view_op=list_hcore&amp;venue=YnM0PRNMjrsJ.2024")</f>
        <v>https://scholar.google.com/citations?hl=en&amp;view_op=list_hcore&amp;venue=YnM0PRNMjrsJ.2024</v>
      </c>
      <c r="F16" s="57"/>
      <c r="I16" s="60" t="str">
        <f>IFERROR(__xludf.DUMMYFUNCTION("""COMPUTED_VALUE"""),"https://dblp.org/db/conf/isvlsi/index.html")</f>
        <v>https://dblp.org/db/conf/isvlsi/index.html</v>
      </c>
    </row>
    <row r="17">
      <c r="A17" s="87" t="str">
        <f>IFERROR(__xludf.DUMMYFUNCTION("""COMPUTED_VALUE"""),"Top 20")</f>
        <v>Top 20</v>
      </c>
      <c r="B17" s="81" t="str">
        <f>IFERROR(__xludf.DUMMYFUNCTION("""COMPUTED_VALUE"""),"INDIN")</f>
        <v>INDIN</v>
      </c>
      <c r="C17" s="88" t="str">
        <f>IFERROR(__xludf.DUMMYFUNCTION("""COMPUTED_VALUE"""),"IEEE International Conference on Industrial Informatics")</f>
        <v>IEEE International Conference on Industrial Informatics</v>
      </c>
      <c r="D17" s="83">
        <f>IFERROR(__xludf.DUMMYFUNCTION("""COMPUTED_VALUE"""),21.0)</f>
        <v>21</v>
      </c>
      <c r="E17" s="59" t="str">
        <f>IFERROR(__xludf.DUMMYFUNCTION("""COMPUTED_VALUE"""),"https://scholar.google.com/citations?hl=en&amp;view_op=list_hcore&amp;venue=IRnEg4i2mP4J.2024")</f>
        <v>https://scholar.google.com/citations?hl=en&amp;view_op=list_hcore&amp;venue=IRnEg4i2mP4J.2024</v>
      </c>
      <c r="F17" s="57"/>
      <c r="I17" s="60" t="str">
        <f>IFERROR(__xludf.DUMMYFUNCTION("""COMPUTED_VALUE"""),"https://dblp.org/db/conf/indin/index.html")</f>
        <v>https://dblp.org/db/conf/indin/index.html</v>
      </c>
    </row>
    <row r="18">
      <c r="A18" s="87" t="str">
        <f>IFERROR(__xludf.DUMMYFUNCTION("""COMPUTED_VALUE"""),"Top 20")</f>
        <v>Top 20</v>
      </c>
      <c r="B18" s="81" t="str">
        <f>IFERROR(__xludf.DUMMYFUNCTION("""COMPUTED_VALUE"""),"ICCD")</f>
        <v>ICCD</v>
      </c>
      <c r="C18" s="81" t="str">
        <f>IFERROR(__xludf.DUMMYFUNCTION("""COMPUTED_VALUE"""),"International Conference on Computer Design")</f>
        <v>International Conference on Computer Design</v>
      </c>
      <c r="D18" s="83">
        <f>IFERROR(__xludf.DUMMYFUNCTION("""COMPUTED_VALUE"""),21.0)</f>
        <v>21</v>
      </c>
      <c r="E18" s="59" t="str">
        <f>IFERROR(__xludf.DUMMYFUNCTION("""COMPUTED_VALUE"""),"https://scholar.google.com/citations?hl=en&amp;view_op=list_hcore&amp;venue=gt4MHCWp_ckJ.2024")</f>
        <v>https://scholar.google.com/citations?hl=en&amp;view_op=list_hcore&amp;venue=gt4MHCWp_ckJ.2024</v>
      </c>
      <c r="F18" s="57"/>
      <c r="H18" t="str">
        <f>IFERROR(__xludf.DUMMYFUNCTION("""COMPUTED_VALUE"""),"IEEE International Conference on Computer Design")</f>
        <v>IEEE International Conference on Computer Design</v>
      </c>
      <c r="I18" s="60" t="str">
        <f>IFERROR(__xludf.DUMMYFUNCTION("""COMPUTED_VALUE"""),"https://dblp.org/db/conf/iccd/index.html")</f>
        <v>https://dblp.org/db/conf/iccd/index.html</v>
      </c>
    </row>
    <row r="19">
      <c r="A19" s="87" t="str">
        <f>IFERROR(__xludf.DUMMYFUNCTION("""COMPUTED_VALUE"""),"Top 20")</f>
        <v>Top 20</v>
      </c>
      <c r="B19" s="81" t="str">
        <f>IFERROR(__xludf.DUMMYFUNCTION("""COMPUTED_VALUE"""),"DSD")</f>
        <v>DSD</v>
      </c>
      <c r="C19" s="81" t="str">
        <f>IFERROR(__xludf.DUMMYFUNCTION("""COMPUTED_VALUE"""),"Euromicro Conference on Digital System Design, Architectures, Methods and Tools")</f>
        <v>Euromicro Conference on Digital System Design, Architectures, Methods and Tools</v>
      </c>
      <c r="D19" s="83">
        <f>IFERROR(__xludf.DUMMYFUNCTION("""COMPUTED_VALUE"""),18.0)</f>
        <v>18</v>
      </c>
      <c r="E19" s="59" t="str">
        <f>IFERROR(__xludf.DUMMYFUNCTION("""COMPUTED_VALUE"""),"https://scholar.google.com/citations?hl=en&amp;view_op=list_hcore&amp;venue=42wcJhr2yF0J.2024")</f>
        <v>https://scholar.google.com/citations?hl=en&amp;view_op=list_hcore&amp;venue=42wcJhr2yF0J.2024</v>
      </c>
      <c r="F19" s="57"/>
      <c r="I19" s="60" t="str">
        <f>IFERROR(__xludf.DUMMYFUNCTION("""COMPUTED_VALUE"""),"https://dblp.org/db/conf/dsd/index.html")</f>
        <v>https://dblp.org/db/conf/dsd/index.html</v>
      </c>
    </row>
    <row r="20">
      <c r="A20" s="87" t="str">
        <f>IFERROR(__xludf.DUMMYFUNCTION("""COMPUTED_VALUE"""),"Top 20")</f>
        <v>Top 20</v>
      </c>
      <c r="B20" s="81" t="str">
        <f>IFERROR(__xludf.DUMMYFUNCTION("""COMPUTED_VALUE"""),"RTCSA")</f>
        <v>RTCSA</v>
      </c>
      <c r="C20" s="84" t="str">
        <f>IFERROR(__xludf.DUMMYFUNCTION("""COMPUTED_VALUE"""),"International Conference on Embedded and Real-Time Computing Systems and Applications")</f>
        <v>International Conference on Embedded and Real-Time Computing Systems and Applications</v>
      </c>
      <c r="D20" s="83">
        <f>IFERROR(__xludf.DUMMYFUNCTION("""COMPUTED_VALUE"""),13.0)</f>
        <v>13</v>
      </c>
      <c r="E20" s="59" t="str">
        <f>IFERROR(__xludf.DUMMYFUNCTION("""COMPUTED_VALUE"""),"https://scholar.google.com/citations?hl=en&amp;view_op=list_hcore&amp;venue=Mb3P41xz9HIJ.2024")</f>
        <v>https://scholar.google.com/citations?hl=en&amp;view_op=list_hcore&amp;venue=Mb3P41xz9HIJ.2024</v>
      </c>
      <c r="F20" s="57"/>
      <c r="H20" t="str">
        <f>IFERROR(__xludf.DUMMYFUNCTION("""COMPUTED_VALUE"""),"IEEE International Conference on Embedded and Real-Time Computing Systems and Applications")</f>
        <v>IEEE International Conference on Embedded and Real-Time Computing Systems and Applications</v>
      </c>
      <c r="I20" s="60" t="str">
        <f>IFERROR(__xludf.DUMMYFUNCTION("""COMPUTED_VALUE"""),"https://dblp.org/db/conf/rtcsa/index.html")</f>
        <v>https://dblp.org/db/conf/rtcsa/index.html</v>
      </c>
    </row>
    <row r="21">
      <c r="A21" s="87" t="str">
        <f>IFERROR(__xludf.DUMMYFUNCTION("""COMPUTED_VALUE"""),"Top 20")</f>
        <v>Top 20</v>
      </c>
      <c r="B21" s="81" t="str">
        <f>IFERROR(__xludf.DUMMYFUNCTION("""COMPUTED_VALUE"""),"ISORC")</f>
        <v>ISORC</v>
      </c>
      <c r="C21" s="81" t="str">
        <f>IFERROR(__xludf.DUMMYFUNCTION("""COMPUTED_VALUE"""),"IEEE International Symposium on RealTime Distributed Computing")</f>
        <v>IEEE International Symposium on RealTime Distributed Computing</v>
      </c>
      <c r="D21" s="83">
        <f>IFERROR(__xludf.DUMMYFUNCTION("""COMPUTED_VALUE"""),12.0)</f>
        <v>12</v>
      </c>
      <c r="E21" s="59" t="str">
        <f>IFERROR(__xludf.DUMMYFUNCTION("""COMPUTED_VALUE"""),"https://scholar.google.com/citations?hl=en&amp;view_op=list_hcore&amp;venue=BsXPy-a3od0J.2024")</f>
        <v>https://scholar.google.com/citations?hl=en&amp;view_op=list_hcore&amp;venue=BsXPy-a3od0J.2024</v>
      </c>
      <c r="F21" s="57"/>
      <c r="H21" t="str">
        <f>IFERROR(__xludf.DUMMYFUNCTION("""COMPUTED_VALUE"""),"International Symposium on Object-Oriented Real-Time Distributed Computing")</f>
        <v>International Symposium on Object-Oriented Real-Time Distributed Computing</v>
      </c>
      <c r="I21" s="60" t="str">
        <f>IFERROR(__xludf.DUMMYFUNCTION("""COMPUTED_VALUE"""),"https://dblp.org/db/conf/isorc/index.html")</f>
        <v>https://dblp.org/db/conf/isorc/index.html</v>
      </c>
    </row>
    <row r="22">
      <c r="A22" s="87" t="str">
        <f>IFERROR(__xludf.DUMMYFUNCTION("""COMPUTED_VALUE"""),"Eventos da Área")</f>
        <v>Eventos da Área</v>
      </c>
      <c r="B22" s="81" t="str">
        <f>IFERROR(__xludf.DUMMYFUNCTION("""COMPUTED_VALUE"""),"INFOCOM")</f>
        <v>INFOCOM</v>
      </c>
      <c r="C22" s="81" t="str">
        <f>IFERROR(__xludf.DUMMYFUNCTION("""COMPUTED_VALUE"""),"IEEE International Conference on Computer Communications")</f>
        <v>IEEE International Conference on Computer Communications</v>
      </c>
      <c r="D22" s="83">
        <f>IFERROR(__xludf.DUMMYFUNCTION("""COMPUTED_VALUE"""),80.0)</f>
        <v>80</v>
      </c>
      <c r="E22" s="59" t="str">
        <f>IFERROR(__xludf.DUMMYFUNCTION("""COMPUTED_VALUE"""),"https://scholar.google.com/citations?hl=en&amp;view_op=list_hcore&amp;venue=JMgzZsGYu14J.2024")</f>
        <v>https://scholar.google.com/citations?hl=en&amp;view_op=list_hcore&amp;venue=JMgzZsGYu14J.2024</v>
      </c>
      <c r="F22" s="57"/>
      <c r="I22" s="60" t="str">
        <f>IFERROR(__xludf.DUMMYFUNCTION("""COMPUTED_VALUE"""),"https://dblp.org/db/conf/infocom/index.html")</f>
        <v>https://dblp.org/db/conf/infocom/index.html</v>
      </c>
    </row>
    <row r="23">
      <c r="A23" s="89" t="str">
        <f>IFERROR(__xludf.DUMMYFUNCTION("""COMPUTED_VALUE"""),"Eventos da Área")</f>
        <v>Eventos da Área</v>
      </c>
      <c r="B23" s="81" t="str">
        <f>IFERROR(__xludf.DUMMYFUNCTION("""COMPUTED_VALUE"""),"ICC")</f>
        <v>ICC</v>
      </c>
      <c r="C23" s="81" t="str">
        <f>IFERROR(__xludf.DUMMYFUNCTION("""COMPUTED_VALUE"""),"IEEE International Conference on Communications")</f>
        <v>IEEE International Conference on Communications</v>
      </c>
      <c r="D23" s="83">
        <f>IFERROR(__xludf.DUMMYFUNCTION("""COMPUTED_VALUE"""),76.0)</f>
        <v>76</v>
      </c>
      <c r="E23" s="59" t="str">
        <f>IFERROR(__xludf.DUMMYFUNCTION("""COMPUTED_VALUE"""),"https://scholar.google.com/citations?hl=en&amp;view_op=list_hcore&amp;venue=RIbmH16J7yoJ.2024")</f>
        <v>https://scholar.google.com/citations?hl=en&amp;view_op=list_hcore&amp;venue=RIbmH16J7yoJ.2024</v>
      </c>
      <c r="F23" s="57"/>
      <c r="I23" s="60" t="str">
        <f>IFERROR(__xludf.DUMMYFUNCTION("""COMPUTED_VALUE"""),"https://dblp.org/db/conf/icc/index.html")</f>
        <v>https://dblp.org/db/conf/icc/index.html</v>
      </c>
    </row>
    <row r="24">
      <c r="A24" s="89" t="str">
        <f>IFERROR(__xludf.DUMMYFUNCTION("""COMPUTED_VALUE"""),"Eventos da Área")</f>
        <v>Eventos da Área</v>
      </c>
      <c r="B24" s="81" t="str">
        <f>IFERROR(__xludf.DUMMYFUNCTION("""COMPUTED_VALUE"""),"ASPLOS")</f>
        <v>ASPLOS</v>
      </c>
      <c r="C24" s="81" t="str">
        <f>IFERROR(__xludf.DUMMYFUNCTION("""COMPUTED_VALUE"""),"International Conference on Architectural Support for Programming Languages and Operating Systems")</f>
        <v>International Conference on Architectural Support for Programming Languages and Operating Systems</v>
      </c>
      <c r="D24" s="83">
        <f>IFERROR(__xludf.DUMMYFUNCTION("""COMPUTED_VALUE"""),71.0)</f>
        <v>71</v>
      </c>
      <c r="E24" s="59" t="str">
        <f>IFERROR(__xludf.DUMMYFUNCTION("""COMPUTED_VALUE"""),"https://scholar.google.com/citations?hl=en&amp;view_op=list_hcore&amp;venue=KlkFB9T8yJEJ.2024")</f>
        <v>https://scholar.google.com/citations?hl=en&amp;view_op=list_hcore&amp;venue=KlkFB9T8yJEJ.2024</v>
      </c>
      <c r="F24" s="57"/>
      <c r="I24" s="60" t="str">
        <f>IFERROR(__xludf.DUMMYFUNCTION("""COMPUTED_VALUE"""),"https://dblp.org/db/conf/asplos/index.html")</f>
        <v>https://dblp.org/db/conf/asplos/index.html</v>
      </c>
    </row>
    <row r="25">
      <c r="A25" s="89" t="str">
        <f>IFERROR(__xludf.DUMMYFUNCTION("""COMPUTED_VALUE"""),"Eventos da Área")</f>
        <v>Eventos da Área</v>
      </c>
      <c r="B25" s="81" t="str">
        <f>IFERROR(__xludf.DUMMYFUNCTION("""COMPUTED_VALUE"""),"ISCAS")</f>
        <v>ISCAS</v>
      </c>
      <c r="C25" s="81" t="str">
        <f>IFERROR(__xludf.DUMMYFUNCTION("""COMPUTED_VALUE"""),"IEEE International Symposium on Circuits and Systems")</f>
        <v>IEEE International Symposium on Circuits and Systems</v>
      </c>
      <c r="D25" s="83">
        <f>IFERROR(__xludf.DUMMYFUNCTION("""COMPUTED_VALUE"""),39.0)</f>
        <v>39</v>
      </c>
      <c r="E25" s="59" t="str">
        <f>IFERROR(__xludf.DUMMYFUNCTION("""COMPUTED_VALUE"""),"https://scholar.google.com/citations?hl=en&amp;view_op=list_hcore&amp;venue=V91jHpOGqs0J.2024")</f>
        <v>https://scholar.google.com/citations?hl=en&amp;view_op=list_hcore&amp;venue=V91jHpOGqs0J.2024</v>
      </c>
      <c r="F25" s="57"/>
      <c r="I25" s="60" t="str">
        <f>IFERROR(__xludf.DUMMYFUNCTION("""COMPUTED_VALUE"""),"https://dblp.org/db/conf/iscas/index.html")</f>
        <v>https://dblp.org/db/conf/iscas/index.html</v>
      </c>
    </row>
    <row r="26">
      <c r="A26" s="89" t="str">
        <f>IFERROR(__xludf.DUMMYFUNCTION("""COMPUTED_VALUE"""),"Eventos da Área")</f>
        <v>Eventos da Área</v>
      </c>
      <c r="B26" s="81" t="str">
        <f>IFERROR(__xludf.DUMMYFUNCTION("""COMPUTED_VALUE"""),"DSN")</f>
        <v>DSN</v>
      </c>
      <c r="C26" s="81" t="str">
        <f>IFERROR(__xludf.DUMMYFUNCTION("""COMPUTED_VALUE"""),"Annual IEEE/IFIP International Conference on Dependable Systems and Networks")</f>
        <v>Annual IEEE/IFIP International Conference on Dependable Systems and Networks</v>
      </c>
      <c r="D26" s="83">
        <f>IFERROR(__xludf.DUMMYFUNCTION("""COMPUTED_VALUE"""),37.0)</f>
        <v>37</v>
      </c>
      <c r="E26" s="59" t="str">
        <f>IFERROR(__xludf.DUMMYFUNCTION("""COMPUTED_VALUE"""),"https://scholar.google.com/citations?hl=en&amp;view_op=list_hcore&amp;venue=MVYbyyKMpToJ.2024")</f>
        <v>https://scholar.google.com/citations?hl=en&amp;view_op=list_hcore&amp;venue=MVYbyyKMpToJ.2024</v>
      </c>
      <c r="F26" s="57"/>
      <c r="I26" s="60" t="str">
        <f>IFERROR(__xludf.DUMMYFUNCTION("""COMPUTED_VALUE"""),"https://dblp.org/db/conf/dsn/index.html")</f>
        <v>https://dblp.org/db/conf/dsn/index.html</v>
      </c>
    </row>
    <row r="27">
      <c r="A27" s="90" t="str">
        <f>IFERROR(__xludf.DUMMYFUNCTION("""COMPUTED_VALUE"""),"Eventos da Área")</f>
        <v>Eventos da Área</v>
      </c>
      <c r="B27" s="81" t="str">
        <f>IFERROR(__xludf.DUMMYFUNCTION("""COMPUTED_VALUE"""),"SMC")</f>
        <v>SMC</v>
      </c>
      <c r="C27" s="81" t="str">
        <f>IFERROR(__xludf.DUMMYFUNCTION("""COMPUTED_VALUE"""),"IEEE International Conference on Systems, Man and Cybernetics")</f>
        <v>IEEE International Conference on Systems, Man and Cybernetics</v>
      </c>
      <c r="D27" s="83">
        <f>IFERROR(__xludf.DUMMYFUNCTION("""COMPUTED_VALUE"""),35.0)</f>
        <v>35</v>
      </c>
      <c r="E27" s="59" t="str">
        <f>IFERROR(__xludf.DUMMYFUNCTION("""COMPUTED_VALUE"""),"https://scholar.google.com/citations?hl=en&amp;view_op=list_hcore&amp;venue=qJlcVei6YeoJ.2024")</f>
        <v>https://scholar.google.com/citations?hl=en&amp;view_op=list_hcore&amp;venue=qJlcVei6YeoJ.2024</v>
      </c>
      <c r="F27" s="57"/>
      <c r="I27" s="60" t="str">
        <f>IFERROR(__xludf.DUMMYFUNCTION("""COMPUTED_VALUE"""),"https://dblp.org/db/conf/smc/index.html")</f>
        <v>https://dblp.org/db/conf/smc/index.html</v>
      </c>
    </row>
    <row r="28">
      <c r="A28" s="90" t="str">
        <f>IFERROR(__xludf.DUMMYFUNCTION("""COMPUTED_VALUE"""),"Eventos da Área")</f>
        <v>Eventos da Área</v>
      </c>
      <c r="B28" s="81" t="str">
        <f>IFERROR(__xludf.DUMMYFUNCTION("""COMPUTED_VALUE"""),"IFAC")</f>
        <v>IFAC</v>
      </c>
      <c r="C28" s="81" t="str">
        <f>IFERROR(__xludf.DUMMYFUNCTION("""COMPUTED_VALUE"""),"World Congress of the International Federation of Automatic Control")</f>
        <v>World Congress of the International Federation of Automatic Control</v>
      </c>
      <c r="D28" s="83">
        <f>IFERROR(__xludf.DUMMYFUNCTION("""COMPUTED_VALUE"""),29.0)</f>
        <v>29</v>
      </c>
      <c r="E28" s="59" t="str">
        <f>IFERROR(__xludf.DUMMYFUNCTION("""COMPUTED_VALUE"""),"https://scholar.google.com.br/citations?hl=pt-BR&amp;view_op=list_hcore&amp;venue=bIF9l832asoJ.2019")</f>
        <v>https://scholar.google.com.br/citations?hl=pt-BR&amp;view_op=list_hcore&amp;venue=bIF9l832asoJ.2019</v>
      </c>
      <c r="F28" s="57"/>
    </row>
    <row r="29">
      <c r="A29" s="91" t="str">
        <f>IFERROR(__xludf.DUMMYFUNCTION("""COMPUTED_VALUE"""),"Eventos da Área")</f>
        <v>Eventos da Área</v>
      </c>
      <c r="B29" s="81" t="str">
        <f>IFERROR(__xludf.DUMMYFUNCTION("""COMPUTED_VALUE"""),"CASE")</f>
        <v>CASE</v>
      </c>
      <c r="C29" s="81" t="str">
        <f>IFERROR(__xludf.DUMMYFUNCTION("""COMPUTED_VALUE"""),"IEEE Conference on Automation Science and Engineering")</f>
        <v>IEEE Conference on Automation Science and Engineering</v>
      </c>
      <c r="D29" s="83">
        <f>IFERROR(__xludf.DUMMYFUNCTION("""COMPUTED_VALUE"""),29.0)</f>
        <v>29</v>
      </c>
      <c r="E29" s="59" t="str">
        <f>IFERROR(__xludf.DUMMYFUNCTION("""COMPUTED_VALUE"""),"https://scholar.google.com/citations?hl=en&amp;view_op=list_hcore&amp;venue=iJOqTiZA0TgJ.2024")</f>
        <v>https://scholar.google.com/citations?hl=en&amp;view_op=list_hcore&amp;venue=iJOqTiZA0TgJ.2024</v>
      </c>
      <c r="F29" s="57"/>
      <c r="I29" s="60" t="str">
        <f>IFERROR(__xludf.DUMMYFUNCTION("""COMPUTED_VALUE"""),"https://dblp.org/db/conf/case/index.html")</f>
        <v>https://dblp.org/db/conf/case/index.html</v>
      </c>
    </row>
    <row r="30">
      <c r="A30" s="91" t="str">
        <f>IFERROR(__xludf.DUMMYFUNCTION("""COMPUTED_VALUE"""),"Eventos da Área")</f>
        <v>Eventos da Área</v>
      </c>
      <c r="B30" s="81" t="str">
        <f>IFERROR(__xludf.DUMMYFUNCTION("""COMPUTED_VALUE"""),"IECON")</f>
        <v>IECON</v>
      </c>
      <c r="C30" s="81" t="str">
        <f>IFERROR(__xludf.DUMMYFUNCTION("""COMPUTED_VALUE"""),"Annual Conference of the IEEE Industrial Electronics Society")</f>
        <v>Annual Conference of the IEEE Industrial Electronics Society</v>
      </c>
      <c r="D30" s="83">
        <f>IFERROR(__xludf.DUMMYFUNCTION("""COMPUTED_VALUE"""),28.0)</f>
        <v>28</v>
      </c>
      <c r="E30" s="59" t="str">
        <f>IFERROR(__xludf.DUMMYFUNCTION("""COMPUTED_VALUE"""),"https://scholar.google.com.br/citations?hl=pt-BR&amp;view_op=list_hcore&amp;venue=j7dS7aP2eTEJ.2024")</f>
        <v>https://scholar.google.com.br/citations?hl=pt-BR&amp;view_op=list_hcore&amp;venue=j7dS7aP2eTEJ.2024</v>
      </c>
      <c r="F30" s="57"/>
      <c r="I30" s="60" t="str">
        <f>IFERROR(__xludf.DUMMYFUNCTION("""COMPUTED_VALUE"""),"https://dblp.org/db/conf/iecon/index.html")</f>
        <v>https://dblp.org/db/conf/iecon/index.html</v>
      </c>
    </row>
    <row r="31">
      <c r="A31" s="91" t="str">
        <f>IFERROR(__xludf.DUMMYFUNCTION("""COMPUTED_VALUE"""),"Eventos da Área")</f>
        <v>Eventos da Área</v>
      </c>
      <c r="B31" s="81" t="str">
        <f>IFERROR(__xludf.DUMMYFUNCTION("""COMPUTED_VALUE"""),"ISCC")</f>
        <v>ISCC</v>
      </c>
      <c r="C31" s="81" t="str">
        <f>IFERROR(__xludf.DUMMYFUNCTION("""COMPUTED_VALUE"""),"International Symposium on Computers and Communications")</f>
        <v>International Symposium on Computers and Communications</v>
      </c>
      <c r="D31" s="83">
        <f>IFERROR(__xludf.DUMMYFUNCTION("""COMPUTED_VALUE"""),26.0)</f>
        <v>26</v>
      </c>
      <c r="E31" s="59" t="str">
        <f>IFERROR(__xludf.DUMMYFUNCTION("""COMPUTED_VALUE"""),"https://scholar.google.com.br/citations?hl=pt-BR&amp;view_op=list_hcore&amp;venue=0jK8bHjCH68J.2024")</f>
        <v>https://scholar.google.com.br/citations?hl=pt-BR&amp;view_op=list_hcore&amp;venue=0jK8bHjCH68J.2024</v>
      </c>
      <c r="F31" s="57"/>
      <c r="H31" t="str">
        <f>IFERROR(__xludf.DUMMYFUNCTION("""COMPUTED_VALUE"""),"IEEE Symposium on Computers and Communications")</f>
        <v>IEEE Symposium on Computers and Communications</v>
      </c>
      <c r="I31" s="60" t="str">
        <f>IFERROR(__xludf.DUMMYFUNCTION("""COMPUTED_VALUE"""),"https://dblp.org/db/conf/iscc/index.html")</f>
        <v>https://dblp.org/db/conf/iscc/index.html</v>
      </c>
    </row>
    <row r="32">
      <c r="A32" s="91" t="str">
        <f>IFERROR(__xludf.DUMMYFUNCTION("""COMPUTED_VALUE"""),"Eventos da Área")</f>
        <v>Eventos da Área</v>
      </c>
      <c r="B32" s="81" t="str">
        <f>IFERROR(__xludf.DUMMYFUNCTION("""COMPUTED_VALUE"""),"WCNC")</f>
        <v>WCNC</v>
      </c>
      <c r="C32" s="81" t="str">
        <f>IFERROR(__xludf.DUMMYFUNCTION("""COMPUTED_VALUE"""),"IEEE Wireless Communications and Networking Conference")</f>
        <v>IEEE Wireless Communications and Networking Conference</v>
      </c>
      <c r="D32" s="83"/>
      <c r="E32" s="59"/>
      <c r="F32" s="57"/>
      <c r="I32" s="60" t="str">
        <f>IFERROR(__xludf.DUMMYFUNCTION("""COMPUTED_VALUE"""),"https://dblp.org/db/conf/wcnc/index.html")</f>
        <v>https://dblp.org/db/conf/wcnc/index.html</v>
      </c>
    </row>
    <row r="33">
      <c r="A33" s="91" t="str">
        <f>IFERROR(__xludf.DUMMYFUNCTION("""COMPUTED_VALUE"""),"Eventos da Área")</f>
        <v>Eventos da Área</v>
      </c>
      <c r="B33" s="81" t="str">
        <f>IFERROR(__xludf.DUMMYFUNCTION("""COMPUTED_VALUE"""),"ICPE")</f>
        <v>ICPE</v>
      </c>
      <c r="C33" s="81" t="str">
        <f>IFERROR(__xludf.DUMMYFUNCTION("""COMPUTED_VALUE"""),"International Conference on Performance Engineering")</f>
        <v>International Conference on Performance Engineering</v>
      </c>
      <c r="D33" s="83">
        <f>IFERROR(__xludf.DUMMYFUNCTION("""COMPUTED_VALUE"""),23.0)</f>
        <v>23</v>
      </c>
      <c r="E33" s="59" t="str">
        <f>IFERROR(__xludf.DUMMYFUNCTION("""COMPUTED_VALUE"""),"https://scholar.google.com/citations?hl=en&amp;view_op=list_hcore&amp;venue=nS824tflG3QJ.2024")</f>
        <v>https://scholar.google.com/citations?hl=en&amp;view_op=list_hcore&amp;venue=nS824tflG3QJ.2024</v>
      </c>
      <c r="F33" s="57"/>
      <c r="H33" t="str">
        <f>IFERROR(__xludf.DUMMYFUNCTION("""COMPUTED_VALUE"""),"ACM/SPEC International Conference on Performance Engineering")</f>
        <v>ACM/SPEC International Conference on Performance Engineering</v>
      </c>
      <c r="I33" s="60" t="str">
        <f>IFERROR(__xludf.DUMMYFUNCTION("""COMPUTED_VALUE"""),"https://dblp.org/db/conf/wosp/index.html")</f>
        <v>https://dblp.org/db/conf/wosp/index.html</v>
      </c>
    </row>
    <row r="34">
      <c r="A34" s="91" t="str">
        <f>IFERROR(__xludf.DUMMYFUNCTION("""COMPUTED_VALUE"""),"Eventos da Área")</f>
        <v>Eventos da Área</v>
      </c>
      <c r="B34" s="81" t="str">
        <f>IFERROR(__xludf.DUMMYFUNCTION("""COMPUTED_VALUE"""),"ISIE")</f>
        <v>ISIE</v>
      </c>
      <c r="C34" s="81" t="str">
        <f>IFERROR(__xludf.DUMMYFUNCTION("""COMPUTED_VALUE"""),"IEEE International Symposium on Industrial Electronics")</f>
        <v>IEEE International Symposium on Industrial Electronics</v>
      </c>
      <c r="D34" s="83">
        <f>IFERROR(__xludf.DUMMYFUNCTION("""COMPUTED_VALUE"""),22.0)</f>
        <v>22</v>
      </c>
      <c r="E34" s="59" t="str">
        <f>IFERROR(__xludf.DUMMYFUNCTION("""COMPUTED_VALUE"""),"https://scholar.google.com/citations?hl=en&amp;view_op=list_hcore&amp;venue=nvZjR0BHub4J.2024")</f>
        <v>https://scholar.google.com/citations?hl=en&amp;view_op=list_hcore&amp;venue=nvZjR0BHub4J.2024</v>
      </c>
      <c r="F34" s="57"/>
      <c r="I34" s="60" t="str">
        <f>IFERROR(__xludf.DUMMYFUNCTION("""COMPUTED_VALUE"""),"https://dblp.org/db/conf/isie/index.html")</f>
        <v>https://dblp.org/db/conf/isie/index.html</v>
      </c>
    </row>
    <row r="35">
      <c r="A35" s="92" t="str">
        <f>IFERROR(__xludf.DUMMYFUNCTION("""COMPUTED_VALUE"""),"Eventos da Área")</f>
        <v>Eventos da Área</v>
      </c>
      <c r="B35" s="85" t="str">
        <f>IFERROR(__xludf.DUMMYFUNCTION("""COMPUTED_VALUE"""),"Middleware")</f>
        <v>Middleware</v>
      </c>
      <c r="C35" s="85" t="str">
        <f>IFERROR(__xludf.DUMMYFUNCTION("""COMPUTED_VALUE"""),"International Middleware Conference")</f>
        <v>International Middleware Conference</v>
      </c>
      <c r="D35" s="85">
        <f>IFERROR(__xludf.DUMMYFUNCTION("""COMPUTED_VALUE"""),22.0)</f>
        <v>22</v>
      </c>
      <c r="E35" s="59" t="str">
        <f>IFERROR(__xludf.DUMMYFUNCTION("""COMPUTED_VALUE"""),"https://scholar.google.com.br/citations?hl=pt-BR&amp;view_op=list_hcore&amp;venue=NA4iP0Rm0toJ.2024")</f>
        <v>https://scholar.google.com.br/citations?hl=pt-BR&amp;view_op=list_hcore&amp;venue=NA4iP0Rm0toJ.2024</v>
      </c>
      <c r="F35" s="71"/>
      <c r="I35" s="60" t="str">
        <f>IFERROR(__xludf.DUMMYFUNCTION("""COMPUTED_VALUE"""),"https://dblp.org/db/conf/middleware/index.html")</f>
        <v>https://dblp.org/db/conf/middleware/index.html</v>
      </c>
    </row>
    <row r="36">
      <c r="A36" s="92" t="str">
        <f>IFERROR(__xludf.DUMMYFUNCTION("""COMPUTED_VALUE"""),"Eventos da Área")</f>
        <v>Eventos da Área</v>
      </c>
      <c r="B36" s="85" t="str">
        <f>IFERROR(__xludf.DUMMYFUNCTION("""COMPUTED_VALUE"""),"ICIIECS")</f>
        <v>ICIIECS</v>
      </c>
      <c r="C36" s="85" t="str">
        <f>IFERROR(__xludf.DUMMYFUNCTION("""COMPUTED_VALUE"""),"International Conference on Innovations in Information, Embedded and Communication Systems")</f>
        <v>International Conference on Innovations in Information, Embedded and Communication Systems</v>
      </c>
      <c r="D36" s="85">
        <f>IFERROR(__xludf.DUMMYFUNCTION("""COMPUTED_VALUE"""),21.0)</f>
        <v>21</v>
      </c>
      <c r="E36" s="59" t="str">
        <f>IFERROR(__xludf.DUMMYFUNCTION("""COMPUTED_VALUE"""),"https://scholar.google.com.br/citations?hl=pt-BR&amp;view_op=list_hcore&amp;venue=j_CZ9hAXkzIJ.2022")</f>
        <v>https://scholar.google.com.br/citations?hl=pt-BR&amp;view_op=list_hcore&amp;venue=j_CZ9hAXkzIJ.2022</v>
      </c>
      <c r="F36" s="71"/>
    </row>
    <row r="37">
      <c r="A37" s="93" t="str">
        <f>IFERROR(__xludf.DUMMYFUNCTION("""COMPUTED_VALUE"""),"Eventos da Área")</f>
        <v>Eventos da Área</v>
      </c>
      <c r="B37" s="81" t="str">
        <f>IFERROR(__xludf.DUMMYFUNCTION("""COMPUTED_VALUE"""),"ASAP")</f>
        <v>ASAP</v>
      </c>
      <c r="C37" s="81" t="str">
        <f>IFERROR(__xludf.DUMMYFUNCTION("""COMPUTED_VALUE"""),"IEEE International Conference on Application-specific Systems, Architectures and Processors")</f>
        <v>IEEE International Conference on Application-specific Systems, Architectures and Processors</v>
      </c>
      <c r="D37" s="83">
        <f>IFERROR(__xludf.DUMMYFUNCTION("""COMPUTED_VALUE"""),20.0)</f>
        <v>20</v>
      </c>
      <c r="E37" s="59" t="str">
        <f>IFERROR(__xludf.DUMMYFUNCTION("""COMPUTED_VALUE"""),"https://scholar.google.com.br/citations?hl=pt-BR&amp;view_op=list_hcore&amp;venue=8awDgn_OhGYJ.2024")</f>
        <v>https://scholar.google.com.br/citations?hl=pt-BR&amp;view_op=list_hcore&amp;venue=8awDgn_OhGYJ.2024</v>
      </c>
      <c r="F37" s="57"/>
      <c r="I37" s="60" t="str">
        <f>IFERROR(__xludf.DUMMYFUNCTION("""COMPUTED_VALUE"""),"https://dblp.org/db/conf/asap/index.html")</f>
        <v>https://dblp.org/db/conf/asap/index.html</v>
      </c>
    </row>
    <row r="38">
      <c r="A38" s="93" t="str">
        <f>IFERROR(__xludf.DUMMYFUNCTION("""COMPUTED_VALUE"""),"Eventos da Área")</f>
        <v>Eventos da Área</v>
      </c>
      <c r="B38" s="81" t="str">
        <f>IFERROR(__xludf.DUMMYFUNCTION("""COMPUTED_VALUE"""),"ICSPCEC")</f>
        <v>ICSPCEC</v>
      </c>
      <c r="C38" s="81" t="str">
        <f>IFERROR(__xludf.DUMMYFUNCTION("""COMPUTED_VALUE"""),"International Conference on Signal Processing, Communication, Power and Embedded System")</f>
        <v>International Conference on Signal Processing, Communication, Power and Embedded System</v>
      </c>
      <c r="D38" s="83">
        <f>IFERROR(__xludf.DUMMYFUNCTION("""COMPUTED_VALUE"""),18.0)</f>
        <v>18</v>
      </c>
      <c r="E38" s="59" t="str">
        <f>IFERROR(__xludf.DUMMYFUNCTION("""COMPUTED_VALUE"""),"https://scholar.google.com.br/citations?hl=pt-BR&amp;view_op=list_hcore&amp;venue=tS8iHNcH760J.2021")</f>
        <v>https://scholar.google.com.br/citations?hl=pt-BR&amp;view_op=list_hcore&amp;venue=tS8iHNcH760J.2021</v>
      </c>
      <c r="F38" s="57"/>
    </row>
    <row r="39">
      <c r="A39" s="93" t="str">
        <f>IFERROR(__xludf.DUMMYFUNCTION("""COMPUTED_VALUE"""),"Eventos da Área")</f>
        <v>Eventos da Área</v>
      </c>
      <c r="B39" s="81" t="str">
        <f>IFERROR(__xludf.DUMMYFUNCTION("""COMPUTED_VALUE"""),"ICT")</f>
        <v>ICT</v>
      </c>
      <c r="C39" s="81" t="str">
        <f>IFERROR(__xludf.DUMMYFUNCTION("""COMPUTED_VALUE"""),"International Conference on Telecommunications")</f>
        <v>International Conference on Telecommunications</v>
      </c>
      <c r="D39" s="83">
        <f>IFERROR(__xludf.DUMMYFUNCTION("""COMPUTED_VALUE"""),18.0)</f>
        <v>18</v>
      </c>
      <c r="E39" s="59" t="str">
        <f>IFERROR(__xludf.DUMMYFUNCTION("""COMPUTED_VALUE"""),"https://scholar.google.com.br/citations?hl=pt-BR&amp;view_op=list_hcore&amp;venue=rka9NFgR5UwJ.2024")</f>
        <v>https://scholar.google.com.br/citations?hl=pt-BR&amp;view_op=list_hcore&amp;venue=rka9NFgR5UwJ.2024</v>
      </c>
      <c r="F39" s="57"/>
      <c r="H39" t="str">
        <f>IFERROR(__xludf.DUMMYFUNCTION("""COMPUTED_VALUE"""),"IEEE International Conference on Telecommunications")</f>
        <v>IEEE International Conference on Telecommunications</v>
      </c>
      <c r="I39" s="60" t="str">
        <f>IFERROR(__xludf.DUMMYFUNCTION("""COMPUTED_VALUE"""),"https://dblp.org/db/conf/ict/index.html")</f>
        <v>https://dblp.org/db/conf/ict/index.html</v>
      </c>
    </row>
    <row r="40">
      <c r="A40" s="93" t="str">
        <f>IFERROR(__xludf.DUMMYFUNCTION("""COMPUTED_VALUE"""),"Eventos da Área")</f>
        <v>Eventos da Área</v>
      </c>
      <c r="B40" s="81" t="str">
        <f>IFERROR(__xludf.DUMMYFUNCTION("""COMPUTED_VALUE"""),"ICECS")</f>
        <v>ICECS</v>
      </c>
      <c r="C40" s="81" t="str">
        <f>IFERROR(__xludf.DUMMYFUNCTION("""COMPUTED_VALUE"""),"IEEE International Conference on Electronics, Circuits and Systems")</f>
        <v>IEEE International Conference on Electronics, Circuits and Systems</v>
      </c>
      <c r="D40" s="83">
        <f>IFERROR(__xludf.DUMMYFUNCTION("""COMPUTED_VALUE"""),18.0)</f>
        <v>18</v>
      </c>
      <c r="E40" s="59" t="str">
        <f>IFERROR(__xludf.DUMMYFUNCTION("""COMPUTED_VALUE"""),"https://scholar.google.com.br/citations?hl=pt-BR&amp;view_op=list_hcore&amp;venue=9Io6PPD79ysJ.2024")</f>
        <v>https://scholar.google.com.br/citations?hl=pt-BR&amp;view_op=list_hcore&amp;venue=9Io6PPD79ysJ.2024</v>
      </c>
      <c r="F40" s="57"/>
      <c r="I40" s="60" t="str">
        <f>IFERROR(__xludf.DUMMYFUNCTION("""COMPUTED_VALUE"""),"https://dblp.org/db/conf/icecsys/index.html")</f>
        <v>https://dblp.org/db/conf/icecsys/index.html</v>
      </c>
    </row>
    <row r="41">
      <c r="A41" s="93" t="str">
        <f>IFERROR(__xludf.DUMMYFUNCTION("""COMPUTED_VALUE"""),"Eventos da Área")</f>
        <v>Eventos da Área</v>
      </c>
      <c r="B41" s="81" t="str">
        <f>IFERROR(__xludf.DUMMYFUNCTION("""COMPUTED_VALUE"""),"WFCS")</f>
        <v>WFCS</v>
      </c>
      <c r="C41" s="81" t="str">
        <f>IFERROR(__xludf.DUMMYFUNCTION("""COMPUTED_VALUE"""),"IEEE World Conference on Factory Communication Systems")</f>
        <v>IEEE World Conference on Factory Communication Systems</v>
      </c>
      <c r="D41" s="83">
        <f>IFERROR(__xludf.DUMMYFUNCTION("""COMPUTED_VALUE"""),15.0)</f>
        <v>15</v>
      </c>
      <c r="E41" s="59" t="str">
        <f>IFERROR(__xludf.DUMMYFUNCTION("""COMPUTED_VALUE"""),"https://scholar.google.com.br/citations?hl=pt-BR&amp;view_op=list_hcore&amp;venue=UpYWQKAQb9IJ.2024")</f>
        <v>https://scholar.google.com.br/citations?hl=pt-BR&amp;view_op=list_hcore&amp;venue=UpYWQKAQb9IJ.2024</v>
      </c>
      <c r="F41" s="57"/>
      <c r="I41" s="60" t="str">
        <f>IFERROR(__xludf.DUMMYFUNCTION("""COMPUTED_VALUE"""),"https://dblp.org/db/conf/wfcs/index.html")</f>
        <v>https://dblp.org/db/conf/wfcs/index.html</v>
      </c>
    </row>
    <row r="42">
      <c r="A42" s="93" t="str">
        <f>IFERROR(__xludf.DUMMYFUNCTION("""COMPUTED_VALUE"""),"Eventos da Área")</f>
        <v>Eventos da Área</v>
      </c>
      <c r="B42" s="81" t="str">
        <f>IFERROR(__xludf.DUMMYFUNCTION("""COMPUTED_VALUE"""),"DS-RT")</f>
        <v>DS-RT</v>
      </c>
      <c r="C42" s="81" t="str">
        <f>IFERROR(__xludf.DUMMYFUNCTION("""COMPUTED_VALUE"""),"IEEE/ACM International Symposium on Distributed Simulation and Real-Time Applications")</f>
        <v>IEEE/ACM International Symposium on Distributed Simulation and Real-Time Applications</v>
      </c>
      <c r="D42" s="83">
        <f>IFERROR(__xludf.DUMMYFUNCTION("""COMPUTED_VALUE"""),14.0)</f>
        <v>14</v>
      </c>
      <c r="E42" s="59" t="str">
        <f>IFERROR(__xludf.DUMMYFUNCTION("""COMPUTED_VALUE"""),"https://scholar.google.com.br/citations?hl=pt-BR&amp;view_op=list_hcore&amp;venue=JO6ZL899IMAJ.2024")</f>
        <v>https://scholar.google.com.br/citations?hl=pt-BR&amp;view_op=list_hcore&amp;venue=JO6ZL899IMAJ.2024</v>
      </c>
      <c r="F42" s="57"/>
      <c r="I42" s="60" t="str">
        <f>IFERROR(__xludf.DUMMYFUNCTION("""COMPUTED_VALUE"""),"https://dblp.org/db/conf/dsrt/index.html")</f>
        <v>https://dblp.org/db/conf/dsrt/index.html</v>
      </c>
    </row>
    <row r="43">
      <c r="A43" s="93" t="str">
        <f>IFERROR(__xludf.DUMMYFUNCTION("""COMPUTED_VALUE"""),"Eventos da Área")</f>
        <v>Eventos da Área</v>
      </c>
      <c r="B43" s="81" t="str">
        <f>IFERROR(__xludf.DUMMYFUNCTION("""COMPUTED_VALUE"""),"RCAR")</f>
        <v>RCAR</v>
      </c>
      <c r="C43" s="81" t="str">
        <f>IFERROR(__xludf.DUMMYFUNCTION("""COMPUTED_VALUE"""),"IEEE International Conference on Real-time Computing and Robotics")</f>
        <v>IEEE International Conference on Real-time Computing and Robotics</v>
      </c>
      <c r="D43" s="83">
        <f>IFERROR(__xludf.DUMMYFUNCTION("""COMPUTED_VALUE"""),14.0)</f>
        <v>14</v>
      </c>
      <c r="E43" s="59" t="str">
        <f>IFERROR(__xludf.DUMMYFUNCTION("""COMPUTED_VALUE"""),"https://scholar.google.com.br/citations?hl=pt-BR&amp;view_op=list_hcore&amp;venue=LLCdED38YXkJ.2024")</f>
        <v>https://scholar.google.com.br/citations?hl=pt-BR&amp;view_op=list_hcore&amp;venue=LLCdED38YXkJ.2024</v>
      </c>
      <c r="F43" s="57"/>
      <c r="I43" s="60" t="str">
        <f>IFERROR(__xludf.DUMMYFUNCTION("""COMPUTED_VALUE"""),"https://dblp.org/db/conf/rcar/index.html")</f>
        <v>https://dblp.org/db/conf/rcar/index.html</v>
      </c>
    </row>
    <row r="44">
      <c r="A44" s="93" t="str">
        <f>IFERROR(__xludf.DUMMYFUNCTION("""COMPUTED_VALUE"""),"Eventos da Área")</f>
        <v>Eventos da Área</v>
      </c>
      <c r="B44" s="81" t="str">
        <f>IFERROR(__xludf.DUMMYFUNCTION("""COMPUTED_VALUE"""),"ARC")</f>
        <v>ARC</v>
      </c>
      <c r="C44" s="84" t="str">
        <f>IFERROR(__xludf.DUMMYFUNCTION("""COMPUTED_VALUE"""),"International Symposium on Applied Reconfigurable Computing")</f>
        <v>International Symposium on Applied Reconfigurable Computing</v>
      </c>
      <c r="D44" s="83">
        <f>IFERROR(__xludf.DUMMYFUNCTION("""COMPUTED_VALUE"""),13.0)</f>
        <v>13</v>
      </c>
      <c r="E44" s="59" t="str">
        <f>IFERROR(__xludf.DUMMYFUNCTION("""COMPUTED_VALUE"""),"https://scholar.google.com.br/citations?hl=pt-BR&amp;view_op=list_hcore&amp;venue=YfOo-Q2IJm8J.2024")</f>
        <v>https://scholar.google.com.br/citations?hl=pt-BR&amp;view_op=list_hcore&amp;venue=YfOo-Q2IJm8J.2024</v>
      </c>
      <c r="F44" s="57"/>
      <c r="H44" t="str">
        <f>IFERROR(__xludf.DUMMYFUNCTION("""COMPUTED_VALUE"""),"Applied Reconfigurable Computing")</f>
        <v>Applied Reconfigurable Computing</v>
      </c>
      <c r="I44" s="60" t="str">
        <f>IFERROR(__xludf.DUMMYFUNCTION("""COMPUTED_VALUE"""),"https://dblp.org/db/conf/arc/index.html")</f>
        <v>https://dblp.org/db/conf/arc/index.html</v>
      </c>
    </row>
    <row r="45">
      <c r="A45" s="93" t="str">
        <f>IFERROR(__xludf.DUMMYFUNCTION("""COMPUTED_VALUE"""),"Eventos da Área")</f>
        <v>Eventos da Área</v>
      </c>
      <c r="B45" s="81" t="str">
        <f>IFERROR(__xludf.DUMMYFUNCTION("""COMPUTED_VALUE"""),"VLSI-SOC")</f>
        <v>VLSI-SOC</v>
      </c>
      <c r="C45" s="81" t="str">
        <f>IFERROR(__xludf.DUMMYFUNCTION("""COMPUTED_VALUE"""),"IEEE/IFIP International Conference on VLSI and System-on-Chip ")</f>
        <v>IEEE/IFIP International Conference on VLSI and System-on-Chip </v>
      </c>
      <c r="D45" s="83">
        <f>IFERROR(__xludf.DUMMYFUNCTION("""COMPUTED_VALUE"""),13.0)</f>
        <v>13</v>
      </c>
      <c r="E45" s="59" t="str">
        <f>IFERROR(__xludf.DUMMYFUNCTION("""COMPUTED_VALUE"""),"https://scholar.google.com.br/citations?hl=pt-BR&amp;view_op=list_hcore&amp;venue=0lu0mPyqVXAJ.2024")</f>
        <v>https://scholar.google.com.br/citations?hl=pt-BR&amp;view_op=list_hcore&amp;venue=0lu0mPyqVXAJ.2024</v>
      </c>
      <c r="F45" s="57"/>
      <c r="I45" s="60" t="str">
        <f>IFERROR(__xludf.DUMMYFUNCTION("""COMPUTED_VALUE"""),"https://dblp.org/db/conf/vlsi/index.html")</f>
        <v>https://dblp.org/db/conf/vlsi/index.html</v>
      </c>
    </row>
    <row r="46">
      <c r="A46" s="93" t="str">
        <f>IFERROR(__xludf.DUMMYFUNCTION("""COMPUTED_VALUE"""),"Eventos da Área")</f>
        <v>Eventos da Área</v>
      </c>
      <c r="B46" s="81" t="str">
        <f>IFERROR(__xludf.DUMMYFUNCTION("""COMPUTED_VALUE"""),"SIES")</f>
        <v>SIES</v>
      </c>
      <c r="C46" s="81" t="str">
        <f>IFERROR(__xludf.DUMMYFUNCTION("""COMPUTED_VALUE"""),"International Symposium on Industrial Embedded Systems")</f>
        <v>International Symposium on Industrial Embedded Systems</v>
      </c>
      <c r="D46" s="83">
        <f>IFERROR(__xludf.DUMMYFUNCTION("""COMPUTED_VALUE"""),12.0)</f>
        <v>12</v>
      </c>
      <c r="E46" s="59" t="str">
        <f>IFERROR(__xludf.DUMMYFUNCTION("""COMPUTED_VALUE"""),"https://scholar.google.com.br/citations?hl=pt-BR&amp;view_op=list_hcore&amp;venue=DCw_w5dKpBoJ.2020")</f>
        <v>https://scholar.google.com.br/citations?hl=pt-BR&amp;view_op=list_hcore&amp;venue=DCw_w5dKpBoJ.2020</v>
      </c>
      <c r="F46" s="57"/>
      <c r="I46" s="60" t="str">
        <f>IFERROR(__xludf.DUMMYFUNCTION("""COMPUTED_VALUE"""),"https://dblp.org/db/conf/sies/index.html")</f>
        <v>https://dblp.org/db/conf/sies/index.html</v>
      </c>
    </row>
    <row r="47">
      <c r="A47" s="93" t="str">
        <f>IFERROR(__xludf.DUMMYFUNCTION("""COMPUTED_VALUE"""),"Eventos da Área")</f>
        <v>Eventos da Área</v>
      </c>
      <c r="B47" s="81" t="str">
        <f>IFERROR(__xludf.DUMMYFUNCTION("""COMPUTED_VALUE"""),"MESA")</f>
        <v>MESA</v>
      </c>
      <c r="C47" s="81" t="str">
        <f>IFERROR(__xludf.DUMMYFUNCTION("""COMPUTED_VALUE"""),"IEEE/ASME International Conference on Mechatronic and Embedded Systems and Applications")</f>
        <v>IEEE/ASME International Conference on Mechatronic and Embedded Systems and Applications</v>
      </c>
      <c r="D47" s="83">
        <f>IFERROR(__xludf.DUMMYFUNCTION("""COMPUTED_VALUE"""),12.0)</f>
        <v>12</v>
      </c>
      <c r="E47" s="59" t="str">
        <f>IFERROR(__xludf.DUMMYFUNCTION("""COMPUTED_VALUE"""),"https://scholar.google.com.br/citations?hl=pt-BR&amp;view_op=list_hcore&amp;venue=th--Q8zFP48J.2021")</f>
        <v>https://scholar.google.com.br/citations?hl=pt-BR&amp;view_op=list_hcore&amp;venue=th--Q8zFP48J.2021</v>
      </c>
      <c r="F47" s="57"/>
      <c r="I47" s="60" t="str">
        <f>IFERROR(__xludf.DUMMYFUNCTION("""COMPUTED_VALUE"""),"https://dblp.org/db/conf/mesa/index.html")</f>
        <v>https://dblp.org/db/conf/mesa/index.html</v>
      </c>
    </row>
    <row r="48">
      <c r="A48" s="93" t="str">
        <f>IFERROR(__xludf.DUMMYFUNCTION("""COMPUTED_VALUE"""),"Eventos da Área")</f>
        <v>Eventos da Área</v>
      </c>
      <c r="B48" s="81" t="str">
        <f>IFERROR(__xludf.DUMMYFUNCTION("""COMPUTED_VALUE"""),"DRCN")</f>
        <v>DRCN</v>
      </c>
      <c r="C48" s="81" t="str">
        <f>IFERROR(__xludf.DUMMYFUNCTION("""COMPUTED_VALUE"""),"International Conference on the Design of Reliable Communication Networks")</f>
        <v>International Conference on the Design of Reliable Communication Networks</v>
      </c>
      <c r="D48" s="83">
        <f>IFERROR(__xludf.DUMMYFUNCTION("""COMPUTED_VALUE"""),12.0)</f>
        <v>12</v>
      </c>
      <c r="E48" s="59" t="str">
        <f>IFERROR(__xludf.DUMMYFUNCTION("""COMPUTED_VALUE"""),"https://scholar.google.com.br/citations?hl=pt-BR&amp;view_op=list_hcore&amp;venue=9giM3hX1gGgJ.2024")</f>
        <v>https://scholar.google.com.br/citations?hl=pt-BR&amp;view_op=list_hcore&amp;venue=9giM3hX1gGgJ.2024</v>
      </c>
      <c r="F48" s="57"/>
      <c r="I48" s="60" t="str">
        <f>IFERROR(__xludf.DUMMYFUNCTION("""COMPUTED_VALUE"""),"https://dblp.org/db/conf/drcn/index.html")</f>
        <v>https://dblp.org/db/conf/drcn/index.html</v>
      </c>
    </row>
    <row r="49">
      <c r="A49" s="93" t="str">
        <f>IFERROR(__xludf.DUMMYFUNCTION("""COMPUTED_VALUE"""),"Eventos da Área")</f>
        <v>Eventos da Área</v>
      </c>
      <c r="B49" s="81" t="str">
        <f>IFERROR(__xludf.DUMMYFUNCTION("""COMPUTED_VALUE"""),"SAMOS")</f>
        <v>SAMOS</v>
      </c>
      <c r="C49" s="81" t="str">
        <f>IFERROR(__xludf.DUMMYFUNCTION("""COMPUTED_VALUE"""),"International Conference on Embedded Computer Systems: Architecture, Modeling and Informatics")</f>
        <v>International Conference on Embedded Computer Systems: Architecture, Modeling and Informatics</v>
      </c>
      <c r="D49" s="83">
        <f>IFERROR(__xludf.DUMMYFUNCTION("""COMPUTED_VALUE"""),11.0)</f>
        <v>11</v>
      </c>
      <c r="E49" s="59" t="str">
        <f>IFERROR(__xludf.DUMMYFUNCTION("""COMPUTED_VALUE"""),"https://scholar.google.com.br/citations?hl=pt-BR&amp;view_op=list_hcore&amp;venue=6GMyv-BpYgwJ.2024")</f>
        <v>https://scholar.google.com.br/citations?hl=pt-BR&amp;view_op=list_hcore&amp;venue=6GMyv-BpYgwJ.2024</v>
      </c>
      <c r="F49" s="57"/>
      <c r="I49" s="60" t="str">
        <f>IFERROR(__xludf.DUMMYFUNCTION("""COMPUTED_VALUE"""),"https://dblp.org/db/conf/samos/index.html")</f>
        <v>https://dblp.org/db/conf/samos/index.html</v>
      </c>
    </row>
    <row r="50">
      <c r="A50" s="93" t="str">
        <f>IFERROR(__xludf.DUMMYFUNCTION("""COMPUTED_VALUE"""),"Eventos da Área")</f>
        <v>Eventos da Área</v>
      </c>
      <c r="B50" s="81" t="str">
        <f>IFERROR(__xludf.DUMMYFUNCTION("""COMPUTED_VALUE"""),"MCSoC")</f>
        <v>MCSoC</v>
      </c>
      <c r="C50" s="81" t="str">
        <f>IFERROR(__xludf.DUMMYFUNCTION("""COMPUTED_VALUE"""),"International Symposium on Embedded Multicore/Many-core Systems-on-Chip")</f>
        <v>International Symposium on Embedded Multicore/Many-core Systems-on-Chip</v>
      </c>
      <c r="D50" s="83">
        <f>IFERROR(__xludf.DUMMYFUNCTION("""COMPUTED_VALUE"""),11.0)</f>
        <v>11</v>
      </c>
      <c r="E50" s="59" t="str">
        <f>IFERROR(__xludf.DUMMYFUNCTION("""COMPUTED_VALUE"""),"https://scholar.google.com.br/citations?hl=pt-BR&amp;view_op=list_hcore&amp;venue=cNDfl82p1FwJ.2024")</f>
        <v>https://scholar.google.com.br/citations?hl=pt-BR&amp;view_op=list_hcore&amp;venue=cNDfl82p1FwJ.2024</v>
      </c>
      <c r="F50" s="57"/>
      <c r="I50" s="60" t="str">
        <f>IFERROR(__xludf.DUMMYFUNCTION("""COMPUTED_VALUE"""),"https://dblp.org/db/conf/mcsoc/index.html")</f>
        <v>https://dblp.org/db/conf/mcsoc/index.html</v>
      </c>
    </row>
    <row r="51">
      <c r="A51" s="94" t="str">
        <f>IFERROR(__xludf.DUMMYFUNCTION("""COMPUTED_VALUE"""),"Eventos da Área")</f>
        <v>Eventos da Área</v>
      </c>
      <c r="B51" s="85" t="str">
        <f>IFERROR(__xludf.DUMMYFUNCTION("""COMPUTED_VALUE"""),"RECOSOC")</f>
        <v>RECOSOC</v>
      </c>
      <c r="C51" s="85" t="str">
        <f>IFERROR(__xludf.DUMMYFUNCTION("""COMPUTED_VALUE"""),"International Symposium on Reconfigurable Communication-centric Systems-on-Chip")</f>
        <v>International Symposium on Reconfigurable Communication-centric Systems-on-Chip</v>
      </c>
      <c r="D51" s="86">
        <f>IFERROR(__xludf.DUMMYFUNCTION("""COMPUTED_VALUE"""),10.0)</f>
        <v>10</v>
      </c>
      <c r="E51" s="59" t="str">
        <f>IFERROR(__xludf.DUMMYFUNCTION("""COMPUTED_VALUE"""),"https://scholar.google.com.br/citations?hl=pt-BR&amp;view_op=list_hcore&amp;venue=z8sUAB07Au0J.2020")</f>
        <v>https://scholar.google.com.br/citations?hl=pt-BR&amp;view_op=list_hcore&amp;venue=z8sUAB07Au0J.2020</v>
      </c>
      <c r="F51" s="57"/>
      <c r="I51" s="60" t="str">
        <f>IFERROR(__xludf.DUMMYFUNCTION("""COMPUTED_VALUE"""),"https://dblp.org/db/conf/recosoc/index.html")</f>
        <v>https://dblp.org/db/conf/recosoc/index.html</v>
      </c>
    </row>
    <row r="52">
      <c r="A52" s="95" t="str">
        <f>IFERROR(__xludf.DUMMYFUNCTION("""COMPUTED_VALUE"""),"Eventos da Área")</f>
        <v>Eventos da Área</v>
      </c>
      <c r="B52" s="81" t="str">
        <f>IFERROR(__xludf.DUMMYFUNCTION("""COMPUTED_VALUE"""),"ARCS")</f>
        <v>ARCS</v>
      </c>
      <c r="C52" s="81" t="str">
        <f>IFERROR(__xludf.DUMMYFUNCTION("""COMPUTED_VALUE"""),"International Conference on Architecture of Computing Systems")</f>
        <v>International Conference on Architecture of Computing Systems</v>
      </c>
      <c r="D52" s="83">
        <f>IFERROR(__xludf.DUMMYFUNCTION("""COMPUTED_VALUE"""),8.0)</f>
        <v>8</v>
      </c>
      <c r="E52" s="59" t="str">
        <f>IFERROR(__xludf.DUMMYFUNCTION("""COMPUTED_VALUE"""),"https://scholar.google.com/citations?hl=en&amp;view_op=list_hcore&amp;venue=0iDRKaj8G38J.2024")</f>
        <v>https://scholar.google.com/citations?hl=en&amp;view_op=list_hcore&amp;venue=0iDRKaj8G38J.2024</v>
      </c>
      <c r="F52" s="57"/>
      <c r="I52" s="60" t="str">
        <f>IFERROR(__xludf.DUMMYFUNCTION("""COMPUTED_VALUE"""),"https://dblp.org/db/conf/arcs/index.html")</f>
        <v>https://dblp.org/db/conf/arcs/index.html</v>
      </c>
    </row>
    <row r="53">
      <c r="A53" s="93" t="str">
        <f>IFERROR(__xludf.DUMMYFUNCTION("""COMPUTED_VALUE"""),"Eventos da Área")</f>
        <v>Eventos da Área</v>
      </c>
      <c r="B53" s="81" t="str">
        <f>IFERROR(__xludf.DUMMYFUNCTION("""COMPUTED_VALUE"""),"PECCS")</f>
        <v>PECCS</v>
      </c>
      <c r="C53" s="96" t="str">
        <f>IFERROR(__xludf.DUMMYFUNCTION("""COMPUTED_VALUE"""),"Pervasive and Embedded Computing and Communication Systems")</f>
        <v>Pervasive and Embedded Computing and Communication Systems</v>
      </c>
      <c r="D53" s="83">
        <f>IFERROR(__xludf.DUMMYFUNCTION("""COMPUTED_VALUE"""),7.0)</f>
        <v>7</v>
      </c>
      <c r="E53" s="59" t="str">
        <f>IFERROR(__xludf.DUMMYFUNCTION("""COMPUTED_VALUE"""),"https://scholar.google.com.br/citations?hl=pt-BR&amp;view_op=list_hcore&amp;venue=kG0dCDBKbysJ.2020")</f>
        <v>https://scholar.google.com.br/citations?hl=pt-BR&amp;view_op=list_hcore&amp;venue=kG0dCDBKbysJ.2020</v>
      </c>
      <c r="F53" s="57"/>
      <c r="I53" s="60" t="str">
        <f>IFERROR(__xludf.DUMMYFUNCTION("""COMPUTED_VALUE"""),"https://dblp.org/db/conf/peccs/index.html")</f>
        <v>https://dblp.org/db/conf/peccs/index.html</v>
      </c>
    </row>
    <row r="54">
      <c r="A54" s="93" t="str">
        <f>IFERROR(__xludf.DUMMYFUNCTION("""COMPUTED_VALUE"""),"Eventos da Área")</f>
        <v>Eventos da Área</v>
      </c>
      <c r="B54" s="81" t="str">
        <f>IFERROR(__xludf.DUMMYFUNCTION("""COMPUTED_VALUE"""),"ICOMPWC")</f>
        <v>ICOMPWC</v>
      </c>
      <c r="C54" s="96" t="str">
        <f>IFERROR(__xludf.DUMMYFUNCTION("""COMPUTED_VALUE"""),"International Conference on Internet Computing and Internet of Things")</f>
        <v>International Conference on Internet Computing and Internet of Things</v>
      </c>
      <c r="D54" s="81"/>
      <c r="E54" s="59"/>
      <c r="F54" s="57" t="str">
        <f>IFERROR(__xludf.DUMMYFUNCTION("""COMPUTED_VALUE"""),"ICOMP")</f>
        <v>ICOMP</v>
      </c>
    </row>
    <row r="55">
      <c r="A55" s="93" t="str">
        <f>IFERROR(__xludf.DUMMYFUNCTION("""COMPUTED_VALUE"""),"Eventos da Área")</f>
        <v>Eventos da Área</v>
      </c>
      <c r="B55" s="81" t="str">
        <f>IFERROR(__xludf.DUMMYFUNCTION("""COMPUTED_VALUE"""),"RTIS")</f>
        <v>RTIS</v>
      </c>
      <c r="C55" s="81" t="str">
        <f>IFERROR(__xludf.DUMMYFUNCTION("""COMPUTED_VALUE"""),"International Conference on Real Time Intelligent Systems")</f>
        <v>International Conference on Real Time Intelligent Systems</v>
      </c>
      <c r="D55" s="83">
        <f>IFERROR(__xludf.DUMMYFUNCTION("""COMPUTED_VALUE"""),6.0)</f>
        <v>6</v>
      </c>
      <c r="E55" s="59" t="str">
        <f>IFERROR(__xludf.DUMMYFUNCTION("""COMPUTED_VALUE"""),"https://scholar.google.com.br/citations?hl=pt-BR&amp;view_op=list_hcore&amp;venue=RIIA6l-Mlx0J.2021")</f>
        <v>https://scholar.google.com.br/citations?hl=pt-BR&amp;view_op=list_hcore&amp;venue=RIIA6l-Mlx0J.2021</v>
      </c>
      <c r="F55" s="57"/>
    </row>
    <row r="56">
      <c r="A56" s="93" t="str">
        <f>IFERROR(__xludf.DUMMYFUNCTION("""COMPUTED_VALUE"""),"Eventos da Área")</f>
        <v>Eventos da Área</v>
      </c>
      <c r="B56" s="81" t="str">
        <f>IFERROR(__xludf.DUMMYFUNCTION("""COMPUTED_VALUE"""),"EUC")</f>
        <v>EUC</v>
      </c>
      <c r="C56" s="81" t="str">
        <f>IFERROR(__xludf.DUMMYFUNCTION("""COMPUTED_VALUE"""),"IEEE/IFIP International Conferences on Embedded and Ubiquitous Computing")</f>
        <v>IEEE/IFIP International Conferences on Embedded and Ubiquitous Computing</v>
      </c>
      <c r="D56" s="83"/>
      <c r="E56" s="59" t="str">
        <f>IFERROR(__xludf.DUMMYFUNCTION("""COMPUTED_VALUE"""),"https://dblp.uni-trier.de/db/conf/euc/")</f>
        <v>https://dblp.uni-trier.de/db/conf/euc/</v>
      </c>
      <c r="F56" s="57"/>
      <c r="I56" s="60" t="str">
        <f>IFERROR(__xludf.DUMMYFUNCTION("""COMPUTED_VALUE"""),"https://dblp.uni-trier.de/db/conf/euc/")</f>
        <v>https://dblp.uni-trier.de/db/conf/euc/</v>
      </c>
    </row>
    <row r="57">
      <c r="A57" s="93" t="str">
        <f>IFERROR(__xludf.DUMMYFUNCTION("""COMPUTED_VALUE"""),"Eventos da Área")</f>
        <v>Eventos da Área</v>
      </c>
      <c r="B57" s="81" t="str">
        <f>IFERROR(__xludf.DUMMYFUNCTION("""COMPUTED_VALUE"""),"IESS")</f>
        <v>IESS</v>
      </c>
      <c r="C57" s="81" t="str">
        <f>IFERROR(__xludf.DUMMYFUNCTION("""COMPUTED_VALUE"""),"IFIP International Embedded Systems Symposium")</f>
        <v>IFIP International Embedded Systems Symposium</v>
      </c>
      <c r="D57" s="81"/>
      <c r="E57" s="59" t="str">
        <f>IFERROR(__xludf.DUMMYFUNCTION("""COMPUTED_VALUE"""),"https://dblp.uni-trier.de/db/conf/iess/")</f>
        <v>https://dblp.uni-trier.de/db/conf/iess/</v>
      </c>
      <c r="F57" s="57"/>
      <c r="I57" s="60" t="str">
        <f>IFERROR(__xludf.DUMMYFUNCTION("""COMPUTED_VALUE"""),"https://dblp.uni-trier.de/db/conf/iess/")</f>
        <v>https://dblp.uni-trier.de/db/conf/iess/</v>
      </c>
    </row>
    <row r="58">
      <c r="A58" s="68" t="str">
        <f>IFERROR(__xludf.DUMMYFUNCTION("""COMPUTED_VALUE"""),"Eventos da Área")</f>
        <v>Eventos da Área</v>
      </c>
      <c r="B58" s="97" t="str">
        <f>IFERROR(__xludf.DUMMYFUNCTION("""COMPUTED_VALUE"""),"LCTRTS")</f>
        <v>LCTRTS</v>
      </c>
      <c r="C58" s="97" t="str">
        <f>IFERROR(__xludf.DUMMYFUNCTION("""COMPUTED_VALUE"""),"ACM SIGPLAN/SIGBED Conference on Languages, Compilers, and Tools for Real-Time Systems")</f>
        <v>ACM SIGPLAN/SIGBED Conference on Languages, Compilers, and Tools for Real-Time Systems</v>
      </c>
      <c r="D58" s="97"/>
      <c r="E58" s="59" t="str">
        <f>IFERROR(__xludf.DUMMYFUNCTION("""COMPUTED_VALUE"""),"https://dblp.uni-trier.de/db/conf/lctrts/")</f>
        <v>https://dblp.uni-trier.de/db/conf/lctrts/</v>
      </c>
      <c r="I58" s="60" t="str">
        <f>IFERROR(__xludf.DUMMYFUNCTION("""COMPUTED_VALUE"""),"https://dblp.uni-trier.de/db/conf/lctrts/")</f>
        <v>https://dblp.uni-trier.de/db/conf/lctrts/</v>
      </c>
    </row>
    <row r="59">
      <c r="A59" s="68" t="str">
        <f>IFERROR(__xludf.DUMMYFUNCTION("""COMPUTED_VALUE"""),"Eventos da Área")</f>
        <v>Eventos da Área</v>
      </c>
      <c r="B59" s="97" t="str">
        <f>IFERROR(__xludf.DUMMYFUNCTION("""COMPUTED_VALUE"""),"LCTES")</f>
        <v>LCTES</v>
      </c>
      <c r="C59" s="97" t="str">
        <f>IFERROR(__xludf.DUMMYFUNCTION("""COMPUTED_VALUE"""),"ACM SIGPLAN/SIGBED Conference on Languages, Compilers, and Tools for Embedded Systems")</f>
        <v>ACM SIGPLAN/SIGBED Conference on Languages, Compilers, and Tools for Embedded Systems</v>
      </c>
      <c r="D59" s="97"/>
      <c r="E59" s="59"/>
    </row>
    <row r="60">
      <c r="A60" s="68" t="str">
        <f>IFERROR(__xludf.DUMMYFUNCTION("""COMPUTED_VALUE"""),"Eventos da Área")</f>
        <v>Eventos da Área</v>
      </c>
      <c r="B60" s="97" t="str">
        <f>IFERROR(__xludf.DUMMYFUNCTION("""COMPUTED_VALUE"""),"PDES")</f>
        <v>PDES</v>
      </c>
      <c r="C60" s="97" t="str">
        <f>IFERROR(__xludf.DUMMYFUNCTION("""COMPUTED_VALUE"""),"IFAC International Conference on Programmable Devices and Embedded Systems")</f>
        <v>IFAC International Conference on Programmable Devices and Embedded Systems</v>
      </c>
      <c r="D60" s="97"/>
      <c r="E60" s="59" t="str">
        <f>IFERROR(__xludf.DUMMYFUNCTION("""COMPUTED_VALUE"""),"https://dblp.uni-trier.de/db/conf/pdes/")</f>
        <v>https://dblp.uni-trier.de/db/conf/pdes/</v>
      </c>
      <c r="I60" s="60" t="str">
        <f>IFERROR(__xludf.DUMMYFUNCTION("""COMPUTED_VALUE"""),"https://dblp.uni-trier.de/db/conf/pdes/")</f>
        <v>https://dblp.uni-trier.de/db/conf/pdes/</v>
      </c>
    </row>
    <row r="61">
      <c r="A61" s="68" t="str">
        <f>IFERROR(__xludf.DUMMYFUNCTION("""COMPUTED_VALUE"""),"Eventos da Área")</f>
        <v>Eventos da Área</v>
      </c>
      <c r="B61" s="97" t="str">
        <f>IFERROR(__xludf.DUMMYFUNCTION("""COMPUTED_VALUE"""),"RSP")</f>
        <v>RSP</v>
      </c>
      <c r="C61" s="97" t="str">
        <f>IFERROR(__xludf.DUMMYFUNCTION("""COMPUTED_VALUE"""),"IEEE International Symposium on Rapid System Prototyping")</f>
        <v>IEEE International Symposium on Rapid System Prototyping</v>
      </c>
      <c r="D61" s="97"/>
      <c r="E61" s="59" t="str">
        <f>IFERROR(__xludf.DUMMYFUNCTION("""COMPUTED_VALUE"""),"https://dblp.uni-trier.de/db/conf/rsp/")</f>
        <v>https://dblp.uni-trier.de/db/conf/rsp/</v>
      </c>
      <c r="I61" s="60" t="str">
        <f>IFERROR(__xludf.DUMMYFUNCTION("""COMPUTED_VALUE"""),"https://dblp.uni-trier.de/db/conf/rsp/")</f>
        <v>https://dblp.uni-trier.de/db/conf/rsp/</v>
      </c>
    </row>
    <row r="62">
      <c r="A62" s="68" t="str">
        <f>IFERROR(__xludf.DUMMYFUNCTION("""COMPUTED_VALUE"""),"Eventos da Área")</f>
        <v>Eventos da Área</v>
      </c>
      <c r="B62" s="97"/>
      <c r="C62" s="97"/>
      <c r="D62" s="97"/>
      <c r="E62" s="59"/>
    </row>
    <row r="63">
      <c r="A63" s="68" t="str">
        <f>IFERROR(__xludf.DUMMYFUNCTION("""COMPUTED_VALUE"""),"Eventos da Área")</f>
        <v>Eventos da Área</v>
      </c>
      <c r="B63" s="97"/>
      <c r="C63" s="97"/>
      <c r="D63" s="97"/>
      <c r="E63" s="59"/>
    </row>
    <row r="64">
      <c r="A64" s="68" t="str">
        <f>IFERROR(__xludf.DUMMYFUNCTION("""COMPUTED_VALUE"""),"Eventos da Área")</f>
        <v>Eventos da Área</v>
      </c>
      <c r="B64" s="97"/>
      <c r="C64" s="97"/>
      <c r="D64" s="97"/>
      <c r="E64" s="59"/>
    </row>
    <row r="65">
      <c r="A65" s="68" t="str">
        <f>IFERROR(__xludf.DUMMYFUNCTION("""COMPUTED_VALUE"""),"Eventos da Área")</f>
        <v>Eventos da Área</v>
      </c>
      <c r="B65" s="97"/>
      <c r="C65" s="97"/>
      <c r="D65" s="97"/>
      <c r="E65" s="59"/>
    </row>
    <row r="66">
      <c r="A66" s="68" t="str">
        <f>IFERROR(__xludf.DUMMYFUNCTION("""COMPUTED_VALUE"""),"Eventos da Área")</f>
        <v>Eventos da Área</v>
      </c>
      <c r="B66" s="97"/>
      <c r="C66" s="97"/>
      <c r="D66" s="97"/>
      <c r="E66" s="59"/>
    </row>
    <row r="67">
      <c r="A67" s="68" t="str">
        <f>IFERROR(__xludf.DUMMYFUNCTION("""COMPUTED_VALUE"""),"Eventos da Área")</f>
        <v>Eventos da Área</v>
      </c>
      <c r="B67" s="97"/>
      <c r="C67" s="97"/>
      <c r="D67" s="97"/>
      <c r="E67" s="59"/>
    </row>
    <row r="68">
      <c r="A68" s="68" t="str">
        <f>IFERROR(__xludf.DUMMYFUNCTION("""COMPUTED_VALUE"""),"Eventos da Área")</f>
        <v>Eventos da Área</v>
      </c>
      <c r="B68" s="97"/>
      <c r="C68" s="97"/>
      <c r="D68" s="97"/>
      <c r="E68" s="59"/>
    </row>
    <row r="69">
      <c r="A69" s="68" t="str">
        <f>IFERROR(__xludf.DUMMYFUNCTION("""COMPUTED_VALUE"""),"Eventos da Área")</f>
        <v>Eventos da Área</v>
      </c>
      <c r="B69" s="97"/>
      <c r="C69" s="97"/>
      <c r="D69" s="97"/>
      <c r="E69" s="59"/>
    </row>
    <row r="70">
      <c r="A70" s="68" t="str">
        <f>IFERROR(__xludf.DUMMYFUNCTION("""COMPUTED_VALUE"""),"Eventos da Área")</f>
        <v>Eventos da Área</v>
      </c>
      <c r="B70" s="97"/>
      <c r="C70" s="97"/>
      <c r="D70" s="97"/>
    </row>
    <row r="71">
      <c r="A71" s="68" t="str">
        <f>IFERROR(__xludf.DUMMYFUNCTION("""COMPUTED_VALUE"""),"Eventos da Área")</f>
        <v>Eventos da Área</v>
      </c>
      <c r="B71" s="97"/>
      <c r="C71" s="97"/>
      <c r="D71" s="97"/>
    </row>
    <row r="72">
      <c r="A72" s="68" t="str">
        <f>IFERROR(__xludf.DUMMYFUNCTION("""COMPUTED_VALUE"""),"Eventos da Área")</f>
        <v>Eventos da Área</v>
      </c>
      <c r="B72" s="97"/>
      <c r="C72" s="97"/>
      <c r="D72" s="97"/>
    </row>
    <row r="73">
      <c r="A73" s="68" t="str">
        <f>IFERROR(__xludf.DUMMYFUNCTION("""COMPUTED_VALUE"""),"Eventos da Área")</f>
        <v>Eventos da Área</v>
      </c>
      <c r="B73" s="97"/>
      <c r="C73" s="97"/>
      <c r="D73" s="97"/>
    </row>
    <row r="74">
      <c r="A74" s="68" t="str">
        <f>IFERROR(__xludf.DUMMYFUNCTION("""COMPUTED_VALUE"""),"Eventos da Área")</f>
        <v>Eventos da Área</v>
      </c>
      <c r="B74" s="97"/>
      <c r="C74" s="97"/>
      <c r="D74" s="97"/>
    </row>
    <row r="75">
      <c r="A75" s="68" t="str">
        <f>IFERROR(__xludf.DUMMYFUNCTION("""COMPUTED_VALUE"""),"Eventos da Área")</f>
        <v>Eventos da Área</v>
      </c>
      <c r="B75" s="97"/>
      <c r="C75" s="97"/>
      <c r="D75" s="97"/>
    </row>
    <row r="76">
      <c r="A76" s="68" t="str">
        <f>IFERROR(__xludf.DUMMYFUNCTION("""COMPUTED_VALUE"""),"Eventos da Área")</f>
        <v>Eventos da Área</v>
      </c>
      <c r="B76" s="97"/>
      <c r="C76" s="97"/>
      <c r="D76" s="97"/>
    </row>
    <row r="77">
      <c r="A77" s="68" t="str">
        <f>IFERROR(__xludf.DUMMYFUNCTION("""COMPUTED_VALUE"""),"Eventos da Área")</f>
        <v>Eventos da Área</v>
      </c>
      <c r="B77" s="97"/>
      <c r="C77" s="97"/>
      <c r="D77" s="97"/>
    </row>
    <row r="78">
      <c r="A78" s="68" t="str">
        <f>IFERROR(__xludf.DUMMYFUNCTION("""COMPUTED_VALUE"""),"Eventos da Área")</f>
        <v>Eventos da Área</v>
      </c>
      <c r="B78" s="97"/>
      <c r="C78" s="97"/>
      <c r="D78" s="97"/>
    </row>
    <row r="79">
      <c r="A79" s="68" t="str">
        <f>IFERROR(__xludf.DUMMYFUNCTION("""COMPUTED_VALUE"""),"Eventos da Área")</f>
        <v>Eventos da Área</v>
      </c>
      <c r="B79" s="97"/>
      <c r="C79" s="97"/>
      <c r="D79" s="97"/>
    </row>
    <row r="80">
      <c r="A80" s="68" t="str">
        <f>IFERROR(__xludf.DUMMYFUNCTION("""COMPUTED_VALUE"""),"Eventos da Área")</f>
        <v>Eventos da Área</v>
      </c>
      <c r="B80" s="97"/>
      <c r="C80" s="97"/>
      <c r="D80" s="97"/>
    </row>
    <row r="81">
      <c r="A81" s="68" t="str">
        <f>IFERROR(__xludf.DUMMYFUNCTION("""COMPUTED_VALUE"""),"Eventos da Área")</f>
        <v>Eventos da Área</v>
      </c>
      <c r="B81" s="97"/>
      <c r="C81" s="97"/>
      <c r="D81" s="97"/>
    </row>
    <row r="82">
      <c r="A82" s="68" t="str">
        <f>IFERROR(__xludf.DUMMYFUNCTION("""COMPUTED_VALUE"""),"Eventos da Área")</f>
        <v>Eventos da Área</v>
      </c>
      <c r="B82" s="97"/>
      <c r="C82" s="97"/>
      <c r="D82" s="97"/>
    </row>
    <row r="83">
      <c r="A83" s="68" t="str">
        <f>IFERROR(__xludf.DUMMYFUNCTION("""COMPUTED_VALUE"""),"Eventos da Área")</f>
        <v>Eventos da Área</v>
      </c>
      <c r="B83" s="97"/>
      <c r="C83" s="97"/>
      <c r="D83" s="97"/>
    </row>
    <row r="84">
      <c r="A84" s="68" t="str">
        <f>IFERROR(__xludf.DUMMYFUNCTION("""COMPUTED_VALUE"""),"Eventos da Área")</f>
        <v>Eventos da Área</v>
      </c>
      <c r="B84" s="97"/>
      <c r="C84" s="97"/>
      <c r="D84" s="97"/>
    </row>
    <row r="85">
      <c r="A85" s="68" t="str">
        <f>IFERROR(__xludf.DUMMYFUNCTION("""COMPUTED_VALUE"""),"Eventos da Área")</f>
        <v>Eventos da Área</v>
      </c>
      <c r="B85" s="97"/>
      <c r="C85" s="97"/>
      <c r="D85" s="97"/>
    </row>
    <row r="86">
      <c r="A86" s="68" t="str">
        <f>IFERROR(__xludf.DUMMYFUNCTION("""COMPUTED_VALUE"""),"Eventos da Área")</f>
        <v>Eventos da Área</v>
      </c>
      <c r="B86" s="97"/>
      <c r="C86" s="97"/>
      <c r="D86" s="97"/>
    </row>
    <row r="87">
      <c r="A87" s="68" t="str">
        <f>IFERROR(__xludf.DUMMYFUNCTION("""COMPUTED_VALUE"""),"Eventos da Área")</f>
        <v>Eventos da Área</v>
      </c>
      <c r="B87" s="97"/>
      <c r="C87" s="97"/>
      <c r="D87" s="97"/>
    </row>
    <row r="88">
      <c r="A88" s="68" t="str">
        <f>IFERROR(__xludf.DUMMYFUNCTION("""COMPUTED_VALUE"""),"Eventos da Área")</f>
        <v>Eventos da Área</v>
      </c>
      <c r="B88" s="97"/>
      <c r="C88" s="97"/>
      <c r="D88" s="97"/>
    </row>
    <row r="89">
      <c r="A89" s="68" t="str">
        <f>IFERROR(__xludf.DUMMYFUNCTION("""COMPUTED_VALUE"""),"Eventos da Área")</f>
        <v>Eventos da Área</v>
      </c>
      <c r="B89" s="97"/>
      <c r="C89" s="97"/>
      <c r="D89" s="97"/>
    </row>
    <row r="90">
      <c r="A90" s="68" t="str">
        <f>IFERROR(__xludf.DUMMYFUNCTION("""COMPUTED_VALUE"""),"Eventos da Área")</f>
        <v>Eventos da Área</v>
      </c>
      <c r="B90" s="97"/>
      <c r="C90" s="97"/>
      <c r="D90" s="97"/>
    </row>
    <row r="91">
      <c r="A91" s="68" t="str">
        <f>IFERROR(__xludf.DUMMYFUNCTION("""COMPUTED_VALUE"""),"Eventos da Área")</f>
        <v>Eventos da Área</v>
      </c>
      <c r="B91" s="97"/>
      <c r="C91" s="97"/>
      <c r="D91" s="97"/>
    </row>
    <row r="92">
      <c r="A92" s="68" t="str">
        <f>IFERROR(__xludf.DUMMYFUNCTION("""COMPUTED_VALUE"""),"Eventos da Área")</f>
        <v>Eventos da Área</v>
      </c>
      <c r="B92" s="97"/>
      <c r="C92" s="97"/>
      <c r="D92" s="97"/>
    </row>
    <row r="93">
      <c r="A93" s="68" t="str">
        <f>IFERROR(__xludf.DUMMYFUNCTION("""COMPUTED_VALUE"""),"Eventos da Área")</f>
        <v>Eventos da Área</v>
      </c>
      <c r="B93" s="97"/>
      <c r="C93" s="97"/>
      <c r="D93" s="97"/>
    </row>
    <row r="94">
      <c r="A94" s="68" t="str">
        <f>IFERROR(__xludf.DUMMYFUNCTION("""COMPUTED_VALUE"""),"Eventos da Área")</f>
        <v>Eventos da Área</v>
      </c>
      <c r="B94" s="97"/>
      <c r="C94" s="97"/>
      <c r="D94" s="97"/>
    </row>
    <row r="95">
      <c r="A95" s="68" t="str">
        <f>IFERROR(__xludf.DUMMYFUNCTION("""COMPUTED_VALUE"""),"Eventos da Área")</f>
        <v>Eventos da Área</v>
      </c>
      <c r="B95" s="97"/>
      <c r="C95" s="97"/>
      <c r="D95" s="97"/>
    </row>
    <row r="96">
      <c r="A96" s="68" t="str">
        <f>IFERROR(__xludf.DUMMYFUNCTION("""COMPUTED_VALUE"""),"Eventos da Área")</f>
        <v>Eventos da Área</v>
      </c>
      <c r="B96" s="97"/>
      <c r="C96" s="97"/>
      <c r="D96" s="97"/>
    </row>
    <row r="97">
      <c r="A97" s="68"/>
      <c r="B97" s="97"/>
      <c r="C97" s="97"/>
      <c r="D97" s="97"/>
    </row>
    <row r="98">
      <c r="A98" s="68"/>
      <c r="B98" s="97"/>
      <c r="C98" s="97"/>
      <c r="D98" s="97"/>
    </row>
    <row r="99">
      <c r="A99" s="68"/>
      <c r="B99" s="97"/>
      <c r="C99" s="97"/>
      <c r="D99" s="97"/>
    </row>
    <row r="100">
      <c r="A100" s="68"/>
      <c r="B100" s="97"/>
      <c r="C100" s="97"/>
      <c r="D100" s="97"/>
    </row>
    <row r="101">
      <c r="A101" s="68"/>
      <c r="B101" s="97"/>
      <c r="C101" s="97"/>
      <c r="D101" s="97"/>
    </row>
    <row r="102">
      <c r="A102" s="68"/>
      <c r="B102" s="97"/>
      <c r="C102" s="97"/>
      <c r="D102" s="97"/>
    </row>
    <row r="103">
      <c r="B103" s="97"/>
      <c r="C103" s="97"/>
      <c r="D103" s="97"/>
    </row>
    <row r="104">
      <c r="B104" s="97"/>
      <c r="C104" s="97"/>
      <c r="D104" s="97"/>
    </row>
    <row r="105">
      <c r="B105" s="97"/>
      <c r="C105" s="97"/>
      <c r="D105" s="97"/>
    </row>
    <row r="106">
      <c r="B106" s="97"/>
      <c r="C106" s="97"/>
      <c r="D106" s="97"/>
    </row>
    <row r="107">
      <c r="B107" s="97"/>
      <c r="C107" s="97"/>
      <c r="D107" s="97"/>
    </row>
    <row r="108">
      <c r="B108" s="97"/>
      <c r="C108" s="97"/>
      <c r="D108" s="97"/>
    </row>
    <row r="109">
      <c r="B109" s="97"/>
      <c r="C109" s="97"/>
      <c r="D109" s="97"/>
    </row>
    <row r="110">
      <c r="B110" s="97"/>
      <c r="C110" s="97"/>
      <c r="D110" s="97"/>
    </row>
    <row r="111">
      <c r="B111" s="97"/>
      <c r="C111" s="97"/>
      <c r="D111" s="97"/>
    </row>
    <row r="112">
      <c r="B112" s="97"/>
      <c r="C112" s="97"/>
      <c r="D112" s="97"/>
    </row>
    <row r="113">
      <c r="B113" s="97"/>
      <c r="C113" s="97"/>
      <c r="D113" s="97"/>
    </row>
    <row r="114">
      <c r="B114" s="97"/>
      <c r="C114" s="97"/>
      <c r="D114" s="97"/>
    </row>
    <row r="115">
      <c r="B115" s="97"/>
      <c r="C115" s="97"/>
      <c r="D115" s="97"/>
    </row>
    <row r="116">
      <c r="B116" s="97"/>
      <c r="C116" s="97"/>
      <c r="D116" s="97"/>
    </row>
    <row r="117">
      <c r="B117" s="97"/>
      <c r="C117" s="97"/>
      <c r="D117" s="97"/>
    </row>
    <row r="118">
      <c r="B118" s="97"/>
      <c r="C118" s="97"/>
      <c r="D118" s="97"/>
    </row>
    <row r="119">
      <c r="B119" s="97"/>
      <c r="C119" s="97"/>
      <c r="D119" s="97"/>
    </row>
    <row r="120">
      <c r="B120" s="97"/>
      <c r="C120" s="97"/>
      <c r="D120" s="97"/>
    </row>
    <row r="121">
      <c r="B121" s="97"/>
      <c r="C121" s="97"/>
      <c r="D121" s="97"/>
    </row>
    <row r="122">
      <c r="B122" s="97"/>
      <c r="C122" s="97"/>
      <c r="D122" s="97"/>
    </row>
    <row r="123">
      <c r="B123" s="97"/>
      <c r="C123" s="97"/>
      <c r="D123" s="97"/>
    </row>
    <row r="124">
      <c r="B124" s="97"/>
      <c r="C124" s="97"/>
      <c r="D124" s="97"/>
    </row>
    <row r="125">
      <c r="B125" s="97"/>
      <c r="C125" s="97"/>
      <c r="D125" s="97"/>
    </row>
    <row r="126">
      <c r="B126" s="97"/>
      <c r="C126" s="97"/>
      <c r="D126" s="97"/>
    </row>
    <row r="127">
      <c r="B127" s="97"/>
      <c r="C127" s="97"/>
      <c r="D127" s="97"/>
    </row>
    <row r="128">
      <c r="B128" s="97"/>
      <c r="C128" s="97"/>
      <c r="D128" s="97"/>
    </row>
    <row r="129">
      <c r="B129" s="97"/>
      <c r="C129" s="97"/>
      <c r="D129" s="97"/>
    </row>
    <row r="130">
      <c r="B130" s="97"/>
      <c r="C130" s="97"/>
      <c r="D130" s="97"/>
    </row>
    <row r="131">
      <c r="B131" s="97"/>
      <c r="C131" s="97"/>
      <c r="D131" s="97"/>
    </row>
    <row r="132">
      <c r="B132" s="97"/>
      <c r="C132" s="97"/>
      <c r="D132" s="97"/>
    </row>
    <row r="133">
      <c r="B133" s="97"/>
      <c r="C133" s="97"/>
      <c r="D133" s="97"/>
    </row>
    <row r="134">
      <c r="B134" s="97"/>
      <c r="C134" s="97"/>
      <c r="D134" s="97"/>
    </row>
    <row r="135">
      <c r="B135" s="97"/>
      <c r="C135" s="97"/>
      <c r="D135" s="97"/>
    </row>
    <row r="136">
      <c r="B136" s="97"/>
      <c r="C136" s="97"/>
      <c r="D136" s="97"/>
    </row>
    <row r="137">
      <c r="B137" s="97"/>
      <c r="C137" s="97"/>
      <c r="D137" s="97"/>
    </row>
    <row r="138">
      <c r="B138" s="97"/>
      <c r="C138" s="97"/>
      <c r="D138" s="97"/>
    </row>
    <row r="139">
      <c r="B139" s="97"/>
      <c r="C139" s="97"/>
      <c r="D139" s="97"/>
    </row>
    <row r="140">
      <c r="B140" s="97"/>
      <c r="C140" s="97"/>
      <c r="D140" s="97"/>
    </row>
    <row r="141">
      <c r="B141" s="97"/>
      <c r="C141" s="97"/>
      <c r="D141" s="97"/>
    </row>
    <row r="142">
      <c r="B142" s="97"/>
      <c r="C142" s="97"/>
      <c r="D142" s="97"/>
    </row>
    <row r="143">
      <c r="B143" s="97"/>
      <c r="C143" s="97"/>
      <c r="D143" s="97"/>
    </row>
    <row r="144">
      <c r="B144" s="97"/>
      <c r="C144" s="97"/>
      <c r="D144" s="97"/>
    </row>
    <row r="145">
      <c r="B145" s="97"/>
      <c r="C145" s="97"/>
      <c r="D145" s="97"/>
    </row>
    <row r="146">
      <c r="B146" s="97"/>
      <c r="C146" s="97"/>
      <c r="D146" s="97"/>
    </row>
    <row r="147">
      <c r="B147" s="97"/>
      <c r="C147" s="97"/>
      <c r="D147" s="97"/>
    </row>
    <row r="148">
      <c r="B148" s="97"/>
      <c r="C148" s="97"/>
      <c r="D148" s="97"/>
    </row>
    <row r="149">
      <c r="B149" s="97"/>
      <c r="C149" s="97"/>
      <c r="D149" s="97"/>
    </row>
    <row r="150">
      <c r="B150" s="97"/>
      <c r="C150" s="97"/>
      <c r="D150" s="97"/>
    </row>
    <row r="151">
      <c r="B151" s="97"/>
      <c r="C151" s="97"/>
      <c r="D151" s="97"/>
    </row>
    <row r="152">
      <c r="B152" s="97"/>
      <c r="C152" s="97"/>
      <c r="D152" s="97"/>
    </row>
    <row r="153">
      <c r="B153" s="97"/>
      <c r="C153" s="97"/>
      <c r="D153" s="97"/>
    </row>
    <row r="154">
      <c r="B154" s="97"/>
      <c r="C154" s="97"/>
      <c r="D154" s="97"/>
    </row>
    <row r="155">
      <c r="B155" s="97"/>
      <c r="C155" s="97"/>
      <c r="D155" s="97"/>
    </row>
    <row r="156">
      <c r="B156" s="97"/>
      <c r="C156" s="97"/>
      <c r="D156" s="97"/>
    </row>
    <row r="157">
      <c r="B157" s="97"/>
      <c r="C157" s="97"/>
      <c r="D157" s="97"/>
    </row>
    <row r="158">
      <c r="B158" s="97"/>
      <c r="C158" s="97"/>
      <c r="D158" s="97"/>
    </row>
    <row r="159">
      <c r="B159" s="97"/>
      <c r="C159" s="97"/>
      <c r="D159" s="97"/>
    </row>
    <row r="160">
      <c r="B160" s="97"/>
      <c r="C160" s="97"/>
      <c r="D160" s="97"/>
    </row>
    <row r="161">
      <c r="B161" s="97"/>
      <c r="C161" s="97"/>
      <c r="D161" s="97"/>
    </row>
    <row r="162">
      <c r="B162" s="97"/>
      <c r="C162" s="97"/>
      <c r="D162" s="97"/>
    </row>
    <row r="163">
      <c r="B163" s="97"/>
      <c r="C163" s="97"/>
      <c r="D163" s="97"/>
    </row>
    <row r="164">
      <c r="B164" s="97"/>
      <c r="C164" s="97"/>
      <c r="D164" s="97"/>
    </row>
    <row r="165">
      <c r="B165" s="97"/>
      <c r="C165" s="97"/>
      <c r="D165" s="97"/>
    </row>
    <row r="166">
      <c r="B166" s="97"/>
      <c r="C166" s="97"/>
      <c r="D166" s="97"/>
    </row>
    <row r="167">
      <c r="B167" s="97"/>
      <c r="C167" s="97"/>
      <c r="D167" s="97"/>
    </row>
    <row r="168">
      <c r="B168" s="97"/>
      <c r="C168" s="97"/>
      <c r="D168" s="97"/>
    </row>
    <row r="169">
      <c r="B169" s="97"/>
      <c r="C169" s="97"/>
      <c r="D169" s="97"/>
    </row>
    <row r="170">
      <c r="B170" s="97"/>
      <c r="C170" s="97"/>
      <c r="D170" s="97"/>
    </row>
    <row r="171">
      <c r="B171" s="97"/>
      <c r="C171" s="97"/>
      <c r="D171" s="97"/>
    </row>
    <row r="172">
      <c r="B172" s="97"/>
      <c r="C172" s="97"/>
      <c r="D172" s="97"/>
    </row>
    <row r="173">
      <c r="B173" s="97"/>
      <c r="C173" s="97"/>
      <c r="D173" s="97"/>
    </row>
    <row r="174">
      <c r="B174" s="97"/>
      <c r="C174" s="97"/>
      <c r="D174" s="97"/>
    </row>
    <row r="175">
      <c r="B175" s="97"/>
      <c r="C175" s="97"/>
      <c r="D175" s="97"/>
    </row>
    <row r="176">
      <c r="B176" s="97"/>
      <c r="C176" s="97"/>
      <c r="D176" s="97"/>
    </row>
    <row r="177">
      <c r="B177" s="97"/>
      <c r="C177" s="97"/>
      <c r="D177" s="97"/>
    </row>
    <row r="178">
      <c r="B178" s="97"/>
      <c r="C178" s="97"/>
      <c r="D178" s="97"/>
    </row>
    <row r="179">
      <c r="B179" s="97"/>
      <c r="C179" s="97"/>
      <c r="D179" s="97"/>
    </row>
    <row r="180">
      <c r="B180" s="97"/>
      <c r="C180" s="97"/>
      <c r="D180" s="97"/>
    </row>
    <row r="181">
      <c r="B181" s="97"/>
      <c r="C181" s="97"/>
      <c r="D181" s="97"/>
    </row>
    <row r="182">
      <c r="B182" s="97"/>
      <c r="C182" s="97"/>
      <c r="D182" s="97"/>
    </row>
    <row r="183">
      <c r="B183" s="97"/>
      <c r="C183" s="97"/>
      <c r="D183" s="97"/>
    </row>
    <row r="184">
      <c r="B184" s="97"/>
      <c r="C184" s="97"/>
      <c r="D184" s="97"/>
    </row>
    <row r="185">
      <c r="B185" s="97"/>
      <c r="C185" s="97"/>
      <c r="D185" s="97"/>
    </row>
    <row r="186">
      <c r="B186" s="97"/>
      <c r="C186" s="97"/>
      <c r="D186" s="97"/>
    </row>
    <row r="187">
      <c r="B187" s="97"/>
      <c r="C187" s="97"/>
      <c r="D187" s="97"/>
    </row>
    <row r="188">
      <c r="B188" s="97"/>
      <c r="C188" s="97"/>
      <c r="D188" s="97"/>
    </row>
    <row r="189">
      <c r="B189" s="97"/>
      <c r="C189" s="97"/>
      <c r="D189" s="97"/>
    </row>
    <row r="190">
      <c r="B190" s="97"/>
      <c r="C190" s="97"/>
      <c r="D190" s="97"/>
    </row>
    <row r="191">
      <c r="B191" s="97"/>
      <c r="C191" s="97"/>
      <c r="D191" s="97"/>
    </row>
    <row r="192">
      <c r="B192" s="97"/>
      <c r="C192" s="97"/>
      <c r="D192" s="97"/>
    </row>
    <row r="193">
      <c r="B193" s="97"/>
      <c r="C193" s="97"/>
      <c r="D193" s="97"/>
    </row>
    <row r="194">
      <c r="B194" s="97"/>
      <c r="C194" s="97"/>
      <c r="D194" s="97"/>
    </row>
    <row r="195">
      <c r="B195" s="97"/>
      <c r="C195" s="97"/>
      <c r="D195" s="97"/>
    </row>
    <row r="196">
      <c r="B196" s="97"/>
      <c r="C196" s="97"/>
      <c r="D196" s="97"/>
    </row>
    <row r="197">
      <c r="B197" s="97"/>
      <c r="C197" s="97"/>
      <c r="D197" s="97"/>
    </row>
    <row r="198">
      <c r="B198" s="97"/>
      <c r="C198" s="97"/>
      <c r="D198" s="97"/>
    </row>
    <row r="199">
      <c r="B199" s="97"/>
      <c r="C199" s="97"/>
      <c r="D199" s="97"/>
    </row>
    <row r="200">
      <c r="B200" s="97"/>
      <c r="C200" s="97"/>
      <c r="D200" s="97"/>
    </row>
    <row r="201">
      <c r="B201" s="97"/>
      <c r="C201" s="97"/>
      <c r="D201" s="97"/>
    </row>
    <row r="202">
      <c r="B202" s="97"/>
      <c r="C202" s="97"/>
      <c r="D202" s="97"/>
    </row>
    <row r="203">
      <c r="B203" s="97"/>
      <c r="C203" s="97"/>
      <c r="D203" s="97"/>
    </row>
    <row r="204">
      <c r="B204" s="97"/>
      <c r="C204" s="97"/>
      <c r="D204" s="97"/>
    </row>
    <row r="205">
      <c r="B205" s="97"/>
      <c r="C205" s="97"/>
      <c r="D205" s="97"/>
    </row>
    <row r="206">
      <c r="B206" s="97"/>
      <c r="C206" s="97"/>
      <c r="D206" s="97"/>
    </row>
    <row r="207">
      <c r="B207" s="97"/>
      <c r="C207" s="97"/>
      <c r="D207" s="97"/>
    </row>
    <row r="208">
      <c r="B208" s="97"/>
      <c r="C208" s="97"/>
      <c r="D208" s="97"/>
    </row>
    <row r="209">
      <c r="B209" s="97"/>
      <c r="C209" s="97"/>
      <c r="D209" s="97"/>
    </row>
    <row r="210">
      <c r="B210" s="97"/>
      <c r="C210" s="97"/>
      <c r="D210" s="97"/>
    </row>
    <row r="211">
      <c r="B211" s="97"/>
      <c r="C211" s="97"/>
      <c r="D211" s="97"/>
    </row>
    <row r="212">
      <c r="B212" s="97"/>
      <c r="C212" s="97"/>
      <c r="D212" s="97"/>
    </row>
    <row r="213">
      <c r="B213" s="97"/>
      <c r="C213" s="97"/>
      <c r="D213" s="97"/>
    </row>
    <row r="214">
      <c r="B214" s="97"/>
      <c r="C214" s="97"/>
      <c r="D214" s="97"/>
    </row>
    <row r="215">
      <c r="B215" s="97"/>
      <c r="C215" s="97"/>
      <c r="D215" s="97"/>
    </row>
    <row r="216">
      <c r="B216" s="97"/>
      <c r="C216" s="97"/>
      <c r="D216" s="97"/>
    </row>
    <row r="217">
      <c r="B217" s="97"/>
      <c r="C217" s="97"/>
      <c r="D217" s="97"/>
    </row>
    <row r="218">
      <c r="B218" s="97"/>
      <c r="C218" s="97"/>
      <c r="D218" s="97"/>
    </row>
    <row r="219">
      <c r="B219" s="97"/>
      <c r="C219" s="97"/>
      <c r="D219" s="97"/>
    </row>
    <row r="220">
      <c r="B220" s="97"/>
      <c r="C220" s="97"/>
      <c r="D220" s="97"/>
    </row>
    <row r="221">
      <c r="B221" s="97"/>
      <c r="C221" s="97"/>
      <c r="D221" s="97"/>
    </row>
    <row r="222">
      <c r="B222" s="97"/>
      <c r="C222" s="97"/>
      <c r="D222" s="97"/>
    </row>
    <row r="223">
      <c r="B223" s="97"/>
      <c r="C223" s="97"/>
      <c r="D223" s="97"/>
    </row>
    <row r="224">
      <c r="B224" s="97"/>
      <c r="C224" s="97"/>
      <c r="D224" s="97"/>
    </row>
    <row r="225">
      <c r="B225" s="97"/>
      <c r="C225" s="97"/>
      <c r="D225" s="97"/>
    </row>
    <row r="226">
      <c r="B226" s="97"/>
      <c r="C226" s="97"/>
      <c r="D226" s="97"/>
    </row>
    <row r="227">
      <c r="B227" s="97"/>
      <c r="C227" s="97"/>
      <c r="D227" s="97"/>
    </row>
    <row r="228">
      <c r="B228" s="97"/>
      <c r="C228" s="97"/>
      <c r="D228" s="97"/>
    </row>
    <row r="229">
      <c r="B229" s="97"/>
      <c r="C229" s="97"/>
      <c r="D229" s="97"/>
    </row>
    <row r="230">
      <c r="B230" s="97"/>
      <c r="C230" s="97"/>
      <c r="D230" s="97"/>
    </row>
    <row r="231">
      <c r="B231" s="97"/>
      <c r="C231" s="97"/>
      <c r="D231" s="97"/>
    </row>
    <row r="232">
      <c r="B232" s="97"/>
      <c r="C232" s="97"/>
      <c r="D232" s="97"/>
    </row>
    <row r="233">
      <c r="B233" s="97"/>
      <c r="C233" s="97"/>
      <c r="D233" s="97"/>
    </row>
    <row r="234">
      <c r="B234" s="97"/>
      <c r="C234" s="97"/>
      <c r="D234" s="97"/>
    </row>
    <row r="235">
      <c r="B235" s="97"/>
      <c r="C235" s="97"/>
      <c r="D235" s="97"/>
    </row>
    <row r="236">
      <c r="B236" s="97"/>
      <c r="C236" s="97"/>
      <c r="D236" s="97"/>
    </row>
    <row r="237">
      <c r="B237" s="97"/>
      <c r="C237" s="97"/>
      <c r="D237" s="97"/>
    </row>
    <row r="238">
      <c r="B238" s="97"/>
      <c r="C238" s="97"/>
      <c r="D238" s="97"/>
    </row>
    <row r="239">
      <c r="B239" s="97"/>
      <c r="C239" s="97"/>
      <c r="D239" s="97"/>
    </row>
    <row r="240">
      <c r="B240" s="97"/>
      <c r="C240" s="97"/>
      <c r="D240" s="97"/>
    </row>
    <row r="241">
      <c r="B241" s="97"/>
      <c r="C241" s="97"/>
      <c r="D241" s="97"/>
    </row>
    <row r="242">
      <c r="B242" s="97"/>
      <c r="C242" s="97"/>
      <c r="D242" s="97"/>
    </row>
    <row r="243">
      <c r="B243" s="97"/>
      <c r="C243" s="97"/>
      <c r="D243" s="97"/>
    </row>
    <row r="244">
      <c r="B244" s="97"/>
      <c r="C244" s="97"/>
      <c r="D244" s="97"/>
    </row>
    <row r="245">
      <c r="B245" s="97"/>
      <c r="C245" s="97"/>
      <c r="D245" s="97"/>
    </row>
    <row r="246">
      <c r="B246" s="97"/>
      <c r="C246" s="97"/>
      <c r="D246" s="97"/>
    </row>
    <row r="247">
      <c r="B247" s="97"/>
      <c r="C247" s="97"/>
      <c r="D247" s="97"/>
    </row>
    <row r="248">
      <c r="B248" s="97"/>
      <c r="C248" s="97"/>
      <c r="D248" s="97"/>
    </row>
    <row r="249">
      <c r="B249" s="97"/>
      <c r="C249" s="97"/>
      <c r="D249" s="97"/>
    </row>
    <row r="250">
      <c r="B250" s="97"/>
      <c r="C250" s="97"/>
      <c r="D250" s="97"/>
    </row>
    <row r="251">
      <c r="B251" s="97"/>
      <c r="C251" s="97"/>
      <c r="D251" s="97"/>
    </row>
    <row r="252">
      <c r="B252" s="97"/>
      <c r="C252" s="97"/>
      <c r="D252" s="97"/>
    </row>
    <row r="253">
      <c r="B253" s="97"/>
      <c r="C253" s="97"/>
      <c r="D253" s="97"/>
    </row>
    <row r="254">
      <c r="B254" s="97"/>
      <c r="C254" s="97"/>
      <c r="D254" s="97"/>
    </row>
    <row r="255">
      <c r="B255" s="97"/>
      <c r="C255" s="97"/>
      <c r="D255" s="97"/>
    </row>
    <row r="256">
      <c r="B256" s="97"/>
      <c r="C256" s="97"/>
      <c r="D256" s="97"/>
    </row>
    <row r="257">
      <c r="B257" s="97"/>
      <c r="C257" s="97"/>
      <c r="D257" s="97"/>
    </row>
    <row r="258">
      <c r="B258" s="97"/>
      <c r="C258" s="97"/>
      <c r="D258" s="97"/>
    </row>
    <row r="259">
      <c r="B259" s="97"/>
      <c r="C259" s="97"/>
      <c r="D259" s="97"/>
    </row>
    <row r="260">
      <c r="B260" s="97"/>
      <c r="C260" s="97"/>
      <c r="D260" s="97"/>
    </row>
    <row r="261">
      <c r="B261" s="97"/>
      <c r="C261" s="97"/>
      <c r="D261" s="97"/>
    </row>
    <row r="262">
      <c r="B262" s="97"/>
      <c r="C262" s="97"/>
      <c r="D262" s="97"/>
    </row>
    <row r="263">
      <c r="B263" s="97"/>
      <c r="C263" s="97"/>
      <c r="D263" s="97"/>
    </row>
    <row r="264">
      <c r="B264" s="97"/>
      <c r="C264" s="97"/>
      <c r="D264" s="97"/>
    </row>
    <row r="265">
      <c r="B265" s="97"/>
      <c r="C265" s="97"/>
      <c r="D265" s="97"/>
    </row>
    <row r="266">
      <c r="B266" s="97"/>
      <c r="C266" s="97"/>
      <c r="D266" s="97"/>
    </row>
    <row r="267">
      <c r="B267" s="97"/>
      <c r="C267" s="97"/>
      <c r="D267" s="97"/>
    </row>
    <row r="268">
      <c r="B268" s="97"/>
      <c r="C268" s="97"/>
      <c r="D268" s="97"/>
    </row>
    <row r="269">
      <c r="B269" s="97"/>
      <c r="C269" s="97"/>
      <c r="D269" s="97"/>
    </row>
    <row r="270">
      <c r="B270" s="97"/>
      <c r="C270" s="97"/>
      <c r="D270" s="97"/>
    </row>
    <row r="271">
      <c r="B271" s="97"/>
      <c r="C271" s="97"/>
      <c r="D271" s="97"/>
    </row>
    <row r="272">
      <c r="B272" s="97"/>
      <c r="C272" s="97"/>
      <c r="D272" s="97"/>
    </row>
    <row r="273">
      <c r="B273" s="97"/>
      <c r="C273" s="97"/>
      <c r="D273" s="97"/>
    </row>
    <row r="274">
      <c r="B274" s="97"/>
      <c r="C274" s="97"/>
      <c r="D274" s="97"/>
    </row>
    <row r="275">
      <c r="B275" s="97"/>
      <c r="C275" s="97"/>
      <c r="D275" s="97"/>
    </row>
    <row r="276">
      <c r="B276" s="97"/>
      <c r="C276" s="97"/>
      <c r="D276" s="97"/>
    </row>
    <row r="277">
      <c r="B277" s="97"/>
      <c r="C277" s="97"/>
      <c r="D277" s="97"/>
    </row>
    <row r="278">
      <c r="B278" s="97"/>
      <c r="C278" s="97"/>
      <c r="D278" s="97"/>
    </row>
    <row r="279">
      <c r="B279" s="97"/>
      <c r="C279" s="97"/>
      <c r="D279" s="97"/>
    </row>
    <row r="280">
      <c r="B280" s="97"/>
      <c r="C280" s="97"/>
      <c r="D280" s="97"/>
    </row>
    <row r="281">
      <c r="B281" s="97"/>
      <c r="C281" s="97"/>
      <c r="D281" s="97"/>
    </row>
    <row r="282">
      <c r="B282" s="97"/>
      <c r="C282" s="97"/>
      <c r="D282" s="97"/>
    </row>
    <row r="283">
      <c r="B283" s="97"/>
      <c r="C283" s="97"/>
      <c r="D283" s="97"/>
    </row>
    <row r="284">
      <c r="B284" s="97"/>
      <c r="C284" s="97"/>
      <c r="D284" s="97"/>
    </row>
    <row r="285">
      <c r="B285" s="97"/>
      <c r="C285" s="97"/>
      <c r="D285" s="97"/>
    </row>
    <row r="286">
      <c r="B286" s="97"/>
      <c r="C286" s="97"/>
      <c r="D286" s="97"/>
    </row>
    <row r="287">
      <c r="B287" s="97"/>
      <c r="C287" s="97"/>
      <c r="D287" s="97"/>
    </row>
    <row r="288">
      <c r="B288" s="97"/>
      <c r="C288" s="97"/>
      <c r="D288" s="97"/>
    </row>
    <row r="289">
      <c r="B289" s="97"/>
      <c r="C289" s="97"/>
      <c r="D289" s="97"/>
    </row>
    <row r="290">
      <c r="B290" s="97"/>
      <c r="C290" s="97"/>
      <c r="D290" s="97"/>
    </row>
    <row r="291">
      <c r="B291" s="97"/>
      <c r="C291" s="97"/>
      <c r="D291" s="97"/>
    </row>
    <row r="292">
      <c r="B292" s="97"/>
      <c r="C292" s="97"/>
      <c r="D292" s="97"/>
    </row>
    <row r="293">
      <c r="B293" s="97"/>
      <c r="C293" s="97"/>
      <c r="D293" s="97"/>
    </row>
    <row r="294">
      <c r="B294" s="97"/>
      <c r="C294" s="97"/>
      <c r="D294" s="97"/>
    </row>
    <row r="295">
      <c r="B295" s="97"/>
      <c r="C295" s="97"/>
      <c r="D295" s="97"/>
    </row>
    <row r="296">
      <c r="B296" s="97"/>
      <c r="C296" s="97"/>
      <c r="D296" s="97"/>
    </row>
    <row r="297">
      <c r="B297" s="97"/>
      <c r="C297" s="97"/>
      <c r="D297" s="97"/>
    </row>
    <row r="298">
      <c r="B298" s="97"/>
      <c r="C298" s="97"/>
      <c r="D298" s="97"/>
    </row>
    <row r="299">
      <c r="B299" s="97"/>
      <c r="C299" s="97"/>
      <c r="D299" s="97"/>
    </row>
    <row r="300">
      <c r="B300" s="97"/>
      <c r="C300" s="97"/>
      <c r="D300" s="97"/>
    </row>
    <row r="301">
      <c r="B301" s="97"/>
      <c r="C301" s="97"/>
      <c r="D301" s="97"/>
    </row>
    <row r="302">
      <c r="B302" s="97"/>
      <c r="C302" s="97"/>
      <c r="D302" s="97"/>
    </row>
    <row r="303">
      <c r="B303" s="97"/>
      <c r="C303" s="97"/>
      <c r="D303" s="97"/>
    </row>
    <row r="304">
      <c r="B304" s="97"/>
      <c r="C304" s="97"/>
      <c r="D304" s="97"/>
    </row>
    <row r="305">
      <c r="B305" s="97"/>
      <c r="C305" s="97"/>
      <c r="D305" s="97"/>
    </row>
    <row r="306">
      <c r="B306" s="97"/>
      <c r="C306" s="97"/>
      <c r="D306" s="97"/>
    </row>
    <row r="307">
      <c r="B307" s="97"/>
      <c r="C307" s="97"/>
      <c r="D307" s="97"/>
    </row>
    <row r="308">
      <c r="B308" s="97"/>
      <c r="C308" s="97"/>
      <c r="D308" s="97"/>
    </row>
    <row r="309">
      <c r="B309" s="97"/>
      <c r="C309" s="97"/>
      <c r="D309" s="97"/>
    </row>
    <row r="310">
      <c r="B310" s="97"/>
      <c r="C310" s="97"/>
      <c r="D310" s="97"/>
    </row>
    <row r="311">
      <c r="B311" s="97"/>
      <c r="C311" s="97"/>
      <c r="D311" s="97"/>
    </row>
    <row r="312">
      <c r="B312" s="97"/>
      <c r="C312" s="97"/>
      <c r="D312" s="97"/>
    </row>
    <row r="313">
      <c r="B313" s="97"/>
      <c r="C313" s="97"/>
      <c r="D313" s="97"/>
    </row>
    <row r="314">
      <c r="B314" s="97"/>
      <c r="C314" s="97"/>
      <c r="D314" s="97"/>
    </row>
    <row r="315">
      <c r="B315" s="97"/>
      <c r="C315" s="97"/>
      <c r="D315" s="97"/>
    </row>
    <row r="316">
      <c r="B316" s="97"/>
      <c r="C316" s="97"/>
      <c r="D316" s="97"/>
    </row>
    <row r="317">
      <c r="B317" s="97"/>
      <c r="C317" s="97"/>
      <c r="D317" s="97"/>
    </row>
    <row r="318">
      <c r="B318" s="97"/>
      <c r="C318" s="97"/>
      <c r="D318" s="97"/>
    </row>
    <row r="319">
      <c r="B319" s="97"/>
      <c r="C319" s="97"/>
      <c r="D319" s="97"/>
    </row>
    <row r="320">
      <c r="B320" s="97"/>
      <c r="C320" s="97"/>
      <c r="D320" s="97"/>
    </row>
    <row r="321">
      <c r="B321" s="97"/>
      <c r="C321" s="97"/>
      <c r="D321" s="97"/>
    </row>
    <row r="322">
      <c r="B322" s="97"/>
      <c r="C322" s="97"/>
      <c r="D322" s="97"/>
    </row>
    <row r="323">
      <c r="B323" s="97"/>
      <c r="C323" s="97"/>
      <c r="D323" s="97"/>
    </row>
    <row r="324">
      <c r="B324" s="97"/>
      <c r="C324" s="97"/>
      <c r="D324" s="97"/>
    </row>
    <row r="325">
      <c r="B325" s="97"/>
      <c r="C325" s="97"/>
      <c r="D325" s="97"/>
    </row>
    <row r="326">
      <c r="B326" s="97"/>
      <c r="C326" s="97"/>
      <c r="D326" s="97"/>
    </row>
    <row r="327">
      <c r="B327" s="97"/>
      <c r="C327" s="97"/>
      <c r="D327" s="97"/>
    </row>
    <row r="328">
      <c r="B328" s="97"/>
      <c r="C328" s="97"/>
      <c r="D328" s="97"/>
    </row>
    <row r="329">
      <c r="B329" s="97"/>
      <c r="C329" s="97"/>
      <c r="D329" s="97"/>
    </row>
    <row r="330">
      <c r="B330" s="97"/>
      <c r="C330" s="97"/>
      <c r="D330" s="97"/>
    </row>
    <row r="331">
      <c r="B331" s="97"/>
      <c r="C331" s="97"/>
      <c r="D331" s="97"/>
    </row>
    <row r="332">
      <c r="B332" s="97"/>
      <c r="C332" s="97"/>
      <c r="D332" s="97"/>
    </row>
    <row r="333">
      <c r="B333" s="97"/>
      <c r="C333" s="97"/>
      <c r="D333" s="97"/>
    </row>
    <row r="334">
      <c r="B334" s="97"/>
      <c r="C334" s="97"/>
      <c r="D334" s="97"/>
    </row>
    <row r="335">
      <c r="B335" s="97"/>
      <c r="C335" s="97"/>
      <c r="D335" s="97"/>
    </row>
    <row r="336">
      <c r="B336" s="97"/>
      <c r="C336" s="97"/>
      <c r="D336" s="97"/>
    </row>
    <row r="337">
      <c r="B337" s="97"/>
      <c r="C337" s="97"/>
      <c r="D337" s="97"/>
    </row>
    <row r="338">
      <c r="B338" s="97"/>
      <c r="C338" s="97"/>
      <c r="D338" s="97"/>
    </row>
    <row r="339">
      <c r="B339" s="97"/>
      <c r="C339" s="97"/>
      <c r="D339" s="97"/>
    </row>
    <row r="340">
      <c r="B340" s="97"/>
      <c r="C340" s="97"/>
      <c r="D340" s="97"/>
    </row>
    <row r="341">
      <c r="B341" s="97"/>
      <c r="C341" s="97"/>
      <c r="D341" s="97"/>
    </row>
    <row r="342">
      <c r="B342" s="97"/>
      <c r="C342" s="97"/>
      <c r="D342" s="97"/>
    </row>
    <row r="343">
      <c r="B343" s="97"/>
      <c r="C343" s="97"/>
      <c r="D343" s="97"/>
    </row>
    <row r="344">
      <c r="B344" s="97"/>
      <c r="C344" s="97"/>
      <c r="D344" s="97"/>
    </row>
    <row r="345">
      <c r="B345" s="97"/>
      <c r="C345" s="97"/>
      <c r="D345" s="97"/>
    </row>
    <row r="346">
      <c r="B346" s="97"/>
      <c r="C346" s="97"/>
      <c r="D346" s="97"/>
    </row>
    <row r="347">
      <c r="B347" s="97"/>
      <c r="C347" s="97"/>
      <c r="D347" s="97"/>
    </row>
    <row r="348">
      <c r="B348" s="97"/>
      <c r="C348" s="97"/>
      <c r="D348" s="97"/>
    </row>
    <row r="349">
      <c r="B349" s="97"/>
      <c r="C349" s="97"/>
      <c r="D349" s="97"/>
    </row>
    <row r="350">
      <c r="B350" s="97"/>
      <c r="C350" s="97"/>
      <c r="D350" s="97"/>
    </row>
    <row r="351">
      <c r="B351" s="97"/>
      <c r="C351" s="97"/>
      <c r="D351" s="97"/>
    </row>
    <row r="352">
      <c r="B352" s="97"/>
      <c r="C352" s="97"/>
      <c r="D352" s="97"/>
    </row>
    <row r="353">
      <c r="B353" s="97"/>
      <c r="C353" s="97"/>
      <c r="D353" s="97"/>
    </row>
    <row r="354">
      <c r="B354" s="97"/>
      <c r="C354" s="97"/>
      <c r="D354" s="97"/>
    </row>
    <row r="355">
      <c r="B355" s="97"/>
      <c r="C355" s="97"/>
      <c r="D355" s="97"/>
    </row>
    <row r="356">
      <c r="B356" s="97"/>
      <c r="C356" s="97"/>
      <c r="D356" s="97"/>
    </row>
    <row r="357">
      <c r="B357" s="97"/>
      <c r="C357" s="97"/>
      <c r="D357" s="97"/>
    </row>
    <row r="358">
      <c r="B358" s="97"/>
      <c r="C358" s="97"/>
      <c r="D358" s="97"/>
    </row>
    <row r="359">
      <c r="B359" s="97"/>
      <c r="C359" s="97"/>
      <c r="D359" s="97"/>
    </row>
    <row r="360">
      <c r="B360" s="97"/>
      <c r="C360" s="97"/>
      <c r="D360" s="97"/>
    </row>
    <row r="361">
      <c r="B361" s="97"/>
      <c r="C361" s="97"/>
      <c r="D361" s="97"/>
    </row>
    <row r="362">
      <c r="B362" s="97"/>
      <c r="C362" s="97"/>
      <c r="D362" s="97"/>
    </row>
    <row r="363">
      <c r="B363" s="97"/>
      <c r="C363" s="97"/>
      <c r="D363" s="97"/>
    </row>
    <row r="364">
      <c r="B364" s="97"/>
      <c r="C364" s="97"/>
      <c r="D364" s="97"/>
    </row>
    <row r="365">
      <c r="B365" s="97"/>
      <c r="C365" s="97"/>
      <c r="D365" s="97"/>
    </row>
    <row r="366">
      <c r="B366" s="97"/>
      <c r="C366" s="97"/>
      <c r="D366" s="97"/>
    </row>
    <row r="367">
      <c r="B367" s="97"/>
      <c r="C367" s="97"/>
      <c r="D367" s="97"/>
    </row>
    <row r="368">
      <c r="B368" s="97"/>
      <c r="C368" s="97"/>
      <c r="D368" s="97"/>
    </row>
    <row r="369">
      <c r="B369" s="97"/>
      <c r="C369" s="97"/>
      <c r="D369" s="97"/>
    </row>
    <row r="370">
      <c r="B370" s="97"/>
      <c r="C370" s="97"/>
      <c r="D370" s="97"/>
    </row>
    <row r="371">
      <c r="B371" s="97"/>
      <c r="C371" s="97"/>
      <c r="D371" s="97"/>
    </row>
    <row r="372">
      <c r="B372" s="97"/>
      <c r="C372" s="97"/>
      <c r="D372" s="97"/>
    </row>
    <row r="373">
      <c r="B373" s="97"/>
      <c r="C373" s="97"/>
      <c r="D373" s="97"/>
    </row>
    <row r="374">
      <c r="B374" s="97"/>
      <c r="C374" s="97"/>
      <c r="D374" s="97"/>
    </row>
    <row r="375">
      <c r="B375" s="97"/>
      <c r="C375" s="97"/>
      <c r="D375" s="97"/>
    </row>
    <row r="376">
      <c r="B376" s="97"/>
      <c r="C376" s="97"/>
      <c r="D376" s="97"/>
    </row>
    <row r="377">
      <c r="B377" s="97"/>
      <c r="C377" s="97"/>
      <c r="D377" s="97"/>
    </row>
    <row r="378">
      <c r="B378" s="97"/>
      <c r="C378" s="97"/>
      <c r="D378" s="97"/>
    </row>
    <row r="379">
      <c r="B379" s="97"/>
      <c r="C379" s="97"/>
      <c r="D379" s="97"/>
    </row>
    <row r="380">
      <c r="B380" s="97"/>
      <c r="C380" s="97"/>
      <c r="D380" s="97"/>
    </row>
    <row r="381">
      <c r="B381" s="97"/>
      <c r="C381" s="97"/>
      <c r="D381" s="97"/>
    </row>
    <row r="382">
      <c r="B382" s="97"/>
      <c r="C382" s="97"/>
      <c r="D382" s="97"/>
    </row>
    <row r="383">
      <c r="B383" s="97"/>
      <c r="C383" s="97"/>
      <c r="D383" s="97"/>
    </row>
    <row r="384">
      <c r="B384" s="97"/>
      <c r="C384" s="97"/>
      <c r="D384" s="97"/>
    </row>
    <row r="385">
      <c r="B385" s="97"/>
      <c r="C385" s="97"/>
      <c r="D385" s="97"/>
    </row>
    <row r="386">
      <c r="B386" s="97"/>
      <c r="C386" s="97"/>
      <c r="D386" s="97"/>
    </row>
    <row r="387">
      <c r="B387" s="97"/>
      <c r="C387" s="97"/>
      <c r="D387" s="97"/>
    </row>
    <row r="388">
      <c r="B388" s="97"/>
      <c r="C388" s="97"/>
      <c r="D388" s="97"/>
    </row>
    <row r="389">
      <c r="B389" s="97"/>
      <c r="C389" s="97"/>
      <c r="D389" s="97"/>
    </row>
    <row r="390">
      <c r="B390" s="97"/>
      <c r="C390" s="97"/>
      <c r="D390" s="97"/>
    </row>
    <row r="391">
      <c r="B391" s="97"/>
      <c r="C391" s="97"/>
      <c r="D391" s="97"/>
    </row>
    <row r="392">
      <c r="B392" s="97"/>
      <c r="C392" s="97"/>
      <c r="D392" s="97"/>
    </row>
    <row r="393">
      <c r="B393" s="97"/>
      <c r="C393" s="97"/>
      <c r="D393" s="97"/>
    </row>
    <row r="394">
      <c r="B394" s="97"/>
      <c r="C394" s="97"/>
      <c r="D394" s="97"/>
    </row>
    <row r="395">
      <c r="B395" s="97"/>
      <c r="C395" s="97"/>
      <c r="D395" s="97"/>
    </row>
    <row r="396">
      <c r="B396" s="97"/>
      <c r="C396" s="97"/>
      <c r="D396" s="97"/>
    </row>
    <row r="397">
      <c r="B397" s="97"/>
      <c r="C397" s="97"/>
      <c r="D397" s="97"/>
    </row>
    <row r="398">
      <c r="B398" s="97"/>
      <c r="C398" s="97"/>
      <c r="D398" s="97"/>
    </row>
    <row r="399">
      <c r="B399" s="97"/>
      <c r="C399" s="97"/>
      <c r="D399" s="97"/>
    </row>
    <row r="400">
      <c r="B400" s="97"/>
      <c r="C400" s="97"/>
      <c r="D400" s="97"/>
    </row>
    <row r="401">
      <c r="B401" s="97"/>
      <c r="C401" s="97"/>
      <c r="D401" s="97"/>
    </row>
    <row r="402">
      <c r="B402" s="97"/>
      <c r="C402" s="97"/>
      <c r="D402" s="97"/>
    </row>
    <row r="403">
      <c r="B403" s="97"/>
      <c r="C403" s="97"/>
      <c r="D403" s="97"/>
    </row>
    <row r="404">
      <c r="B404" s="97"/>
      <c r="C404" s="97"/>
      <c r="D404" s="97"/>
    </row>
    <row r="405">
      <c r="B405" s="97"/>
      <c r="C405" s="97"/>
      <c r="D405" s="97"/>
    </row>
    <row r="406">
      <c r="B406" s="97"/>
      <c r="C406" s="97"/>
      <c r="D406" s="97"/>
    </row>
    <row r="407">
      <c r="B407" s="97"/>
      <c r="C407" s="97"/>
      <c r="D407" s="97"/>
    </row>
    <row r="408">
      <c r="B408" s="97"/>
      <c r="C408" s="97"/>
      <c r="D408" s="97"/>
    </row>
    <row r="409">
      <c r="B409" s="97"/>
      <c r="C409" s="97"/>
      <c r="D409" s="97"/>
    </row>
    <row r="410">
      <c r="B410" s="97"/>
      <c r="C410" s="97"/>
      <c r="D410" s="97"/>
    </row>
    <row r="411">
      <c r="B411" s="97"/>
      <c r="C411" s="97"/>
      <c r="D411" s="97"/>
    </row>
    <row r="412">
      <c r="B412" s="97"/>
      <c r="C412" s="97"/>
      <c r="D412" s="97"/>
    </row>
    <row r="413">
      <c r="B413" s="97"/>
      <c r="C413" s="97"/>
      <c r="D413" s="97"/>
    </row>
    <row r="414">
      <c r="B414" s="97"/>
      <c r="C414" s="97"/>
      <c r="D414" s="97"/>
    </row>
    <row r="415">
      <c r="B415" s="97"/>
      <c r="C415" s="97"/>
      <c r="D415" s="97"/>
    </row>
    <row r="416">
      <c r="B416" s="97"/>
      <c r="C416" s="97"/>
      <c r="D416" s="97"/>
    </row>
    <row r="417">
      <c r="B417" s="97"/>
      <c r="C417" s="97"/>
      <c r="D417" s="97"/>
    </row>
    <row r="418">
      <c r="B418" s="97"/>
      <c r="C418" s="97"/>
      <c r="D418" s="97"/>
    </row>
    <row r="419">
      <c r="B419" s="97"/>
      <c r="C419" s="97"/>
      <c r="D419" s="97"/>
    </row>
    <row r="420">
      <c r="B420" s="97"/>
      <c r="C420" s="97"/>
      <c r="D420" s="97"/>
    </row>
    <row r="421">
      <c r="B421" s="97"/>
      <c r="C421" s="97"/>
      <c r="D421" s="97"/>
    </row>
    <row r="422">
      <c r="B422" s="97"/>
      <c r="C422" s="97"/>
      <c r="D422" s="97"/>
    </row>
    <row r="423">
      <c r="B423" s="97"/>
      <c r="C423" s="97"/>
      <c r="D423" s="97"/>
    </row>
    <row r="424">
      <c r="B424" s="97"/>
      <c r="C424" s="97"/>
      <c r="D424" s="97"/>
    </row>
    <row r="425">
      <c r="B425" s="97"/>
      <c r="C425" s="97"/>
      <c r="D425" s="97"/>
    </row>
    <row r="426">
      <c r="B426" s="97"/>
      <c r="C426" s="97"/>
      <c r="D426" s="97"/>
    </row>
    <row r="427">
      <c r="B427" s="97"/>
      <c r="C427" s="97"/>
      <c r="D427" s="97"/>
    </row>
    <row r="428">
      <c r="B428" s="97"/>
      <c r="C428" s="97"/>
      <c r="D428" s="97"/>
    </row>
    <row r="429">
      <c r="B429" s="97"/>
      <c r="C429" s="97"/>
      <c r="D429" s="97"/>
    </row>
    <row r="430">
      <c r="B430" s="97"/>
      <c r="C430" s="97"/>
      <c r="D430" s="97"/>
    </row>
    <row r="431">
      <c r="B431" s="97"/>
      <c r="C431" s="97"/>
      <c r="D431" s="97"/>
    </row>
    <row r="432">
      <c r="B432" s="97"/>
      <c r="C432" s="97"/>
      <c r="D432" s="97"/>
    </row>
    <row r="433">
      <c r="B433" s="97"/>
      <c r="C433" s="97"/>
      <c r="D433" s="97"/>
    </row>
    <row r="434">
      <c r="B434" s="97"/>
      <c r="C434" s="97"/>
      <c r="D434" s="97"/>
    </row>
    <row r="435">
      <c r="B435" s="97"/>
      <c r="C435" s="97"/>
      <c r="D435" s="97"/>
    </row>
    <row r="436">
      <c r="B436" s="97"/>
      <c r="C436" s="97"/>
      <c r="D436" s="97"/>
    </row>
    <row r="437">
      <c r="B437" s="97"/>
      <c r="C437" s="97"/>
      <c r="D437" s="97"/>
    </row>
    <row r="438">
      <c r="B438" s="97"/>
      <c r="C438" s="97"/>
      <c r="D438" s="97"/>
    </row>
    <row r="439">
      <c r="B439" s="97"/>
      <c r="C439" s="97"/>
      <c r="D439" s="97"/>
    </row>
    <row r="440">
      <c r="B440" s="97"/>
      <c r="C440" s="97"/>
      <c r="D440" s="97"/>
    </row>
    <row r="441">
      <c r="B441" s="97"/>
      <c r="C441" s="97"/>
      <c r="D441" s="97"/>
    </row>
    <row r="442">
      <c r="B442" s="97"/>
      <c r="C442" s="97"/>
      <c r="D442" s="97"/>
    </row>
    <row r="443">
      <c r="B443" s="97"/>
      <c r="C443" s="97"/>
      <c r="D443" s="97"/>
    </row>
    <row r="444">
      <c r="B444" s="97"/>
      <c r="C444" s="97"/>
      <c r="D444" s="97"/>
    </row>
    <row r="445">
      <c r="B445" s="97"/>
      <c r="C445" s="97"/>
      <c r="D445" s="97"/>
    </row>
    <row r="446">
      <c r="B446" s="97"/>
      <c r="C446" s="97"/>
      <c r="D446" s="97"/>
    </row>
    <row r="447">
      <c r="B447" s="97"/>
      <c r="C447" s="97"/>
      <c r="D447" s="97"/>
    </row>
    <row r="448">
      <c r="B448" s="97"/>
      <c r="C448" s="97"/>
      <c r="D448" s="97"/>
    </row>
    <row r="449">
      <c r="B449" s="97"/>
      <c r="C449" s="97"/>
      <c r="D449" s="97"/>
    </row>
    <row r="450">
      <c r="B450" s="97"/>
      <c r="C450" s="97"/>
      <c r="D450" s="97"/>
    </row>
    <row r="451">
      <c r="B451" s="97"/>
      <c r="C451" s="97"/>
      <c r="D451" s="97"/>
    </row>
    <row r="452">
      <c r="B452" s="97"/>
      <c r="C452" s="97"/>
      <c r="D452" s="97"/>
    </row>
    <row r="453">
      <c r="B453" s="97"/>
      <c r="C453" s="97"/>
      <c r="D453" s="97"/>
    </row>
    <row r="454">
      <c r="B454" s="97"/>
      <c r="C454" s="97"/>
      <c r="D454" s="97"/>
    </row>
    <row r="455">
      <c r="B455" s="97"/>
      <c r="C455" s="97"/>
      <c r="D455" s="97"/>
    </row>
    <row r="456">
      <c r="B456" s="97"/>
      <c r="C456" s="97"/>
      <c r="D456" s="97"/>
    </row>
    <row r="457">
      <c r="B457" s="97"/>
      <c r="C457" s="97"/>
      <c r="D457" s="97"/>
    </row>
    <row r="458">
      <c r="B458" s="97"/>
      <c r="C458" s="97"/>
      <c r="D458" s="97"/>
    </row>
    <row r="459">
      <c r="B459" s="97"/>
      <c r="C459" s="97"/>
      <c r="D459" s="97"/>
    </row>
    <row r="460">
      <c r="B460" s="97"/>
      <c r="C460" s="97"/>
      <c r="D460" s="97"/>
    </row>
    <row r="461">
      <c r="B461" s="97"/>
      <c r="C461" s="97"/>
      <c r="D461" s="97"/>
    </row>
    <row r="462">
      <c r="B462" s="97"/>
      <c r="C462" s="97"/>
      <c r="D462" s="97"/>
    </row>
    <row r="463">
      <c r="B463" s="97"/>
      <c r="C463" s="97"/>
      <c r="D463" s="97"/>
    </row>
    <row r="464">
      <c r="B464" s="97"/>
      <c r="C464" s="97"/>
      <c r="D464" s="97"/>
    </row>
    <row r="465">
      <c r="B465" s="97"/>
      <c r="C465" s="97"/>
      <c r="D465" s="97"/>
    </row>
    <row r="466">
      <c r="B466" s="97"/>
      <c r="C466" s="97"/>
      <c r="D466" s="97"/>
    </row>
    <row r="467">
      <c r="B467" s="97"/>
      <c r="C467" s="97"/>
      <c r="D467" s="97"/>
    </row>
    <row r="468">
      <c r="B468" s="97"/>
      <c r="C468" s="97"/>
      <c r="D468" s="97"/>
    </row>
    <row r="469">
      <c r="B469" s="97"/>
      <c r="C469" s="97"/>
      <c r="D469" s="97"/>
    </row>
    <row r="470">
      <c r="B470" s="97"/>
      <c r="C470" s="97"/>
      <c r="D470" s="97"/>
    </row>
    <row r="471">
      <c r="B471" s="97"/>
      <c r="C471" s="97"/>
      <c r="D471" s="97"/>
    </row>
    <row r="472">
      <c r="B472" s="97"/>
      <c r="C472" s="97"/>
      <c r="D472" s="97"/>
    </row>
    <row r="473">
      <c r="B473" s="97"/>
      <c r="C473" s="97"/>
      <c r="D473" s="97"/>
    </row>
    <row r="474">
      <c r="B474" s="97"/>
      <c r="C474" s="97"/>
      <c r="D474" s="97"/>
    </row>
    <row r="475">
      <c r="B475" s="97"/>
      <c r="C475" s="97"/>
      <c r="D475" s="97"/>
    </row>
    <row r="476">
      <c r="B476" s="97"/>
      <c r="C476" s="97"/>
      <c r="D476" s="97"/>
    </row>
    <row r="477">
      <c r="B477" s="97"/>
      <c r="C477" s="97"/>
      <c r="D477" s="97"/>
    </row>
    <row r="478">
      <c r="B478" s="97"/>
      <c r="C478" s="97"/>
      <c r="D478" s="97"/>
    </row>
    <row r="479">
      <c r="B479" s="97"/>
      <c r="C479" s="97"/>
      <c r="D479" s="97"/>
    </row>
    <row r="480">
      <c r="B480" s="97"/>
      <c r="C480" s="97"/>
      <c r="D480" s="97"/>
    </row>
    <row r="481">
      <c r="B481" s="97"/>
      <c r="C481" s="97"/>
      <c r="D481" s="97"/>
    </row>
    <row r="482">
      <c r="B482" s="97"/>
      <c r="C482" s="97"/>
      <c r="D482" s="97"/>
    </row>
    <row r="483">
      <c r="B483" s="97"/>
      <c r="C483" s="97"/>
      <c r="D483" s="97"/>
    </row>
    <row r="484">
      <c r="B484" s="97"/>
      <c r="C484" s="97"/>
      <c r="D484" s="97"/>
    </row>
    <row r="485">
      <c r="B485" s="97"/>
      <c r="C485" s="97"/>
      <c r="D485" s="97"/>
    </row>
    <row r="486">
      <c r="B486" s="97"/>
      <c r="C486" s="97"/>
      <c r="D486" s="97"/>
    </row>
    <row r="487">
      <c r="B487" s="97"/>
      <c r="C487" s="97"/>
      <c r="D487" s="97"/>
    </row>
    <row r="488">
      <c r="B488" s="97"/>
      <c r="C488" s="97"/>
      <c r="D488" s="97"/>
    </row>
    <row r="489">
      <c r="B489" s="97"/>
      <c r="C489" s="97"/>
      <c r="D489" s="97"/>
    </row>
    <row r="490">
      <c r="B490" s="97"/>
      <c r="C490" s="97"/>
      <c r="D490" s="97"/>
    </row>
    <row r="491">
      <c r="B491" s="97"/>
      <c r="C491" s="97"/>
      <c r="D491" s="97"/>
    </row>
    <row r="492">
      <c r="B492" s="97"/>
      <c r="C492" s="97"/>
      <c r="D492" s="97"/>
    </row>
    <row r="493">
      <c r="B493" s="97"/>
      <c r="C493" s="97"/>
      <c r="D493" s="97"/>
    </row>
    <row r="494">
      <c r="B494" s="97"/>
      <c r="C494" s="97"/>
      <c r="D494" s="97"/>
    </row>
    <row r="495">
      <c r="B495" s="97"/>
      <c r="C495" s="97"/>
      <c r="D495" s="97"/>
    </row>
    <row r="496">
      <c r="B496" s="97"/>
      <c r="C496" s="97"/>
      <c r="D496" s="97"/>
    </row>
    <row r="497">
      <c r="B497" s="97"/>
      <c r="C497" s="97"/>
      <c r="D497" s="97"/>
    </row>
    <row r="498">
      <c r="B498" s="97"/>
      <c r="C498" s="97"/>
      <c r="D498" s="97"/>
    </row>
    <row r="499">
      <c r="B499" s="97"/>
      <c r="C499" s="97"/>
      <c r="D499" s="97"/>
    </row>
    <row r="500">
      <c r="B500" s="97"/>
      <c r="C500" s="97"/>
      <c r="D500" s="97"/>
    </row>
    <row r="501">
      <c r="B501" s="97"/>
      <c r="C501" s="97"/>
      <c r="D501" s="97"/>
    </row>
    <row r="502">
      <c r="B502" s="97"/>
      <c r="C502" s="97"/>
      <c r="D502" s="97"/>
    </row>
    <row r="503">
      <c r="B503" s="97"/>
      <c r="C503" s="97"/>
      <c r="D503" s="97"/>
    </row>
    <row r="504">
      <c r="B504" s="97"/>
      <c r="C504" s="97"/>
      <c r="D504" s="97"/>
    </row>
    <row r="505">
      <c r="B505" s="97"/>
      <c r="C505" s="97"/>
      <c r="D505" s="97"/>
    </row>
    <row r="506">
      <c r="B506" s="97"/>
      <c r="C506" s="97"/>
      <c r="D506" s="97"/>
    </row>
    <row r="507">
      <c r="B507" s="97"/>
      <c r="C507" s="97"/>
      <c r="D507" s="97"/>
    </row>
    <row r="508">
      <c r="B508" s="97"/>
      <c r="C508" s="97"/>
      <c r="D508" s="97"/>
    </row>
    <row r="509">
      <c r="B509" s="97"/>
      <c r="C509" s="97"/>
      <c r="D509" s="97"/>
    </row>
    <row r="510">
      <c r="B510" s="97"/>
      <c r="C510" s="97"/>
      <c r="D510" s="97"/>
    </row>
    <row r="511">
      <c r="B511" s="97"/>
      <c r="C511" s="97"/>
      <c r="D511" s="97"/>
    </row>
    <row r="512">
      <c r="B512" s="97"/>
      <c r="C512" s="97"/>
      <c r="D512" s="97"/>
    </row>
    <row r="513">
      <c r="B513" s="97"/>
      <c r="C513" s="97"/>
      <c r="D513" s="97"/>
    </row>
    <row r="514">
      <c r="B514" s="97"/>
      <c r="C514" s="97"/>
      <c r="D514" s="97"/>
    </row>
    <row r="515">
      <c r="B515" s="97"/>
      <c r="C515" s="97"/>
      <c r="D515" s="97"/>
    </row>
    <row r="516">
      <c r="B516" s="97"/>
      <c r="C516" s="97"/>
      <c r="D516" s="97"/>
    </row>
    <row r="517">
      <c r="B517" s="97"/>
      <c r="C517" s="97"/>
      <c r="D517" s="97"/>
    </row>
    <row r="518">
      <c r="B518" s="97"/>
      <c r="C518" s="97"/>
      <c r="D518" s="97"/>
    </row>
    <row r="519">
      <c r="B519" s="97"/>
      <c r="C519" s="97"/>
      <c r="D519" s="97"/>
    </row>
    <row r="520">
      <c r="B520" s="97"/>
      <c r="C520" s="97"/>
      <c r="D520" s="97"/>
    </row>
    <row r="521">
      <c r="B521" s="97"/>
      <c r="C521" s="97"/>
      <c r="D521" s="97"/>
    </row>
    <row r="522">
      <c r="B522" s="97"/>
      <c r="C522" s="97"/>
      <c r="D522" s="97"/>
    </row>
    <row r="523">
      <c r="B523" s="97"/>
      <c r="C523" s="97"/>
      <c r="D523" s="97"/>
    </row>
    <row r="524">
      <c r="B524" s="97"/>
      <c r="C524" s="97"/>
      <c r="D524" s="97"/>
    </row>
    <row r="525">
      <c r="B525" s="97"/>
      <c r="C525" s="97"/>
      <c r="D525" s="97"/>
    </row>
    <row r="526">
      <c r="B526" s="97"/>
      <c r="C526" s="97"/>
      <c r="D526" s="97"/>
    </row>
    <row r="527">
      <c r="B527" s="97"/>
      <c r="C527" s="97"/>
      <c r="D527" s="97"/>
    </row>
    <row r="528">
      <c r="B528" s="97"/>
      <c r="C528" s="97"/>
      <c r="D528" s="97"/>
    </row>
    <row r="529">
      <c r="B529" s="97"/>
      <c r="C529" s="97"/>
      <c r="D529" s="97"/>
    </row>
    <row r="530">
      <c r="B530" s="97"/>
      <c r="C530" s="97"/>
      <c r="D530" s="97"/>
    </row>
    <row r="531">
      <c r="B531" s="97"/>
      <c r="C531" s="97"/>
      <c r="D531" s="97"/>
    </row>
    <row r="532">
      <c r="B532" s="97"/>
      <c r="C532" s="97"/>
      <c r="D532" s="97"/>
    </row>
    <row r="533">
      <c r="B533" s="97"/>
      <c r="C533" s="97"/>
      <c r="D533" s="97"/>
    </row>
    <row r="534">
      <c r="B534" s="97"/>
      <c r="C534" s="97"/>
      <c r="D534" s="97"/>
    </row>
    <row r="535">
      <c r="B535" s="97"/>
      <c r="C535" s="97"/>
      <c r="D535" s="97"/>
    </row>
    <row r="536">
      <c r="B536" s="97"/>
      <c r="C536" s="97"/>
      <c r="D536" s="97"/>
    </row>
    <row r="537">
      <c r="B537" s="97"/>
      <c r="C537" s="97"/>
      <c r="D537" s="97"/>
    </row>
    <row r="538">
      <c r="B538" s="97"/>
      <c r="C538" s="97"/>
      <c r="D538" s="97"/>
    </row>
    <row r="539">
      <c r="B539" s="97"/>
      <c r="C539" s="97"/>
      <c r="D539" s="97"/>
    </row>
    <row r="540">
      <c r="B540" s="97"/>
      <c r="C540" s="97"/>
      <c r="D540" s="97"/>
    </row>
    <row r="541">
      <c r="B541" s="97"/>
      <c r="C541" s="97"/>
      <c r="D541" s="97"/>
    </row>
    <row r="542">
      <c r="B542" s="97"/>
      <c r="C542" s="97"/>
      <c r="D542" s="97"/>
    </row>
    <row r="543">
      <c r="B543" s="97"/>
      <c r="C543" s="97"/>
      <c r="D543" s="97"/>
    </row>
    <row r="544">
      <c r="B544" s="97"/>
      <c r="C544" s="97"/>
      <c r="D544" s="97"/>
    </row>
    <row r="545">
      <c r="B545" s="97"/>
      <c r="C545" s="97"/>
      <c r="D545" s="97"/>
    </row>
    <row r="546">
      <c r="B546" s="97"/>
      <c r="C546" s="97"/>
      <c r="D546" s="97"/>
    </row>
    <row r="547">
      <c r="B547" s="97"/>
      <c r="C547" s="97"/>
      <c r="D547" s="97"/>
    </row>
    <row r="548">
      <c r="B548" s="97"/>
      <c r="C548" s="97"/>
      <c r="D548" s="97"/>
    </row>
    <row r="549">
      <c r="B549" s="97"/>
      <c r="C549" s="97"/>
      <c r="D549" s="97"/>
    </row>
    <row r="550">
      <c r="B550" s="97"/>
      <c r="C550" s="97"/>
      <c r="D550" s="97"/>
    </row>
    <row r="551">
      <c r="B551" s="97"/>
      <c r="C551" s="97"/>
      <c r="D551" s="97"/>
    </row>
    <row r="552">
      <c r="B552" s="97"/>
      <c r="C552" s="97"/>
      <c r="D552" s="97"/>
    </row>
    <row r="553">
      <c r="B553" s="97"/>
      <c r="C553" s="97"/>
      <c r="D553" s="97"/>
    </row>
    <row r="554">
      <c r="B554" s="97"/>
      <c r="C554" s="97"/>
      <c r="D554" s="97"/>
    </row>
    <row r="555">
      <c r="B555" s="97"/>
      <c r="C555" s="97"/>
      <c r="D555" s="97"/>
    </row>
    <row r="556">
      <c r="B556" s="97"/>
      <c r="C556" s="97"/>
      <c r="D556" s="97"/>
    </row>
    <row r="557">
      <c r="B557" s="97"/>
      <c r="C557" s="97"/>
      <c r="D557" s="97"/>
    </row>
    <row r="558">
      <c r="B558" s="97"/>
      <c r="C558" s="97"/>
      <c r="D558" s="97"/>
    </row>
    <row r="559">
      <c r="B559" s="97"/>
      <c r="C559" s="97"/>
      <c r="D559" s="97"/>
    </row>
    <row r="560">
      <c r="B560" s="97"/>
      <c r="C560" s="97"/>
      <c r="D560" s="97"/>
    </row>
    <row r="561">
      <c r="B561" s="97"/>
      <c r="C561" s="97"/>
      <c r="D561" s="97"/>
    </row>
    <row r="562">
      <c r="B562" s="97"/>
      <c r="C562" s="97"/>
      <c r="D562" s="97"/>
    </row>
    <row r="563">
      <c r="B563" s="97"/>
      <c r="C563" s="97"/>
      <c r="D563" s="97"/>
    </row>
    <row r="564">
      <c r="B564" s="97"/>
      <c r="C564" s="97"/>
      <c r="D564" s="97"/>
    </row>
    <row r="565">
      <c r="B565" s="97"/>
      <c r="C565" s="97"/>
      <c r="D565" s="97"/>
    </row>
    <row r="566">
      <c r="B566" s="97"/>
      <c r="C566" s="97"/>
      <c r="D566" s="97"/>
    </row>
    <row r="567">
      <c r="B567" s="97"/>
      <c r="C567" s="97"/>
      <c r="D567" s="97"/>
    </row>
    <row r="568">
      <c r="B568" s="97"/>
      <c r="C568" s="97"/>
      <c r="D568" s="97"/>
    </row>
    <row r="569">
      <c r="B569" s="97"/>
      <c r="C569" s="97"/>
      <c r="D569" s="97"/>
    </row>
    <row r="570">
      <c r="B570" s="97"/>
      <c r="C570" s="97"/>
      <c r="D570" s="97"/>
    </row>
    <row r="571">
      <c r="B571" s="97"/>
      <c r="C571" s="97"/>
      <c r="D571" s="97"/>
    </row>
    <row r="572">
      <c r="B572" s="97"/>
      <c r="C572" s="97"/>
      <c r="D572" s="97"/>
    </row>
    <row r="573">
      <c r="B573" s="97"/>
      <c r="C573" s="97"/>
      <c r="D573" s="97"/>
    </row>
    <row r="574">
      <c r="B574" s="97"/>
      <c r="C574" s="97"/>
      <c r="D574" s="97"/>
    </row>
    <row r="575">
      <c r="B575" s="97"/>
      <c r="C575" s="97"/>
      <c r="D575" s="97"/>
    </row>
    <row r="576">
      <c r="B576" s="97"/>
      <c r="C576" s="97"/>
      <c r="D576" s="97"/>
    </row>
    <row r="577">
      <c r="B577" s="97"/>
      <c r="C577" s="97"/>
      <c r="D577" s="97"/>
    </row>
    <row r="578">
      <c r="B578" s="97"/>
      <c r="C578" s="97"/>
      <c r="D578" s="97"/>
    </row>
    <row r="579">
      <c r="B579" s="97"/>
      <c r="C579" s="97"/>
      <c r="D579" s="97"/>
    </row>
    <row r="580">
      <c r="B580" s="97"/>
      <c r="C580" s="97"/>
      <c r="D580" s="97"/>
    </row>
    <row r="581">
      <c r="B581" s="97"/>
      <c r="C581" s="97"/>
      <c r="D581" s="97"/>
    </row>
    <row r="582">
      <c r="B582" s="97"/>
      <c r="C582" s="97"/>
      <c r="D582" s="97"/>
    </row>
    <row r="583">
      <c r="B583" s="97"/>
      <c r="C583" s="97"/>
      <c r="D583" s="97"/>
    </row>
    <row r="584">
      <c r="B584" s="97"/>
      <c r="C584" s="97"/>
      <c r="D584" s="97"/>
    </row>
    <row r="585">
      <c r="B585" s="97"/>
      <c r="C585" s="97"/>
      <c r="D585" s="97"/>
    </row>
    <row r="586">
      <c r="B586" s="97"/>
      <c r="C586" s="97"/>
      <c r="D586" s="97"/>
    </row>
    <row r="587">
      <c r="B587" s="97"/>
      <c r="C587" s="97"/>
      <c r="D587" s="97"/>
    </row>
    <row r="588">
      <c r="B588" s="97"/>
      <c r="C588" s="97"/>
      <c r="D588" s="97"/>
    </row>
    <row r="589">
      <c r="B589" s="97"/>
      <c r="C589" s="97"/>
      <c r="D589" s="97"/>
    </row>
    <row r="590">
      <c r="B590" s="97"/>
      <c r="C590" s="97"/>
      <c r="D590" s="97"/>
    </row>
    <row r="591">
      <c r="B591" s="97"/>
      <c r="C591" s="97"/>
      <c r="D591" s="97"/>
    </row>
    <row r="592">
      <c r="B592" s="97"/>
      <c r="C592" s="97"/>
      <c r="D592" s="97"/>
    </row>
    <row r="593">
      <c r="B593" s="97"/>
      <c r="C593" s="97"/>
      <c r="D593" s="97"/>
    </row>
    <row r="594">
      <c r="B594" s="97"/>
      <c r="C594" s="97"/>
      <c r="D594" s="97"/>
    </row>
    <row r="595">
      <c r="B595" s="97"/>
      <c r="C595" s="97"/>
      <c r="D595" s="97"/>
    </row>
    <row r="596">
      <c r="B596" s="97"/>
      <c r="C596" s="97"/>
      <c r="D596" s="97"/>
    </row>
    <row r="597">
      <c r="B597" s="97"/>
      <c r="C597" s="97"/>
      <c r="D597" s="97"/>
    </row>
    <row r="598">
      <c r="B598" s="97"/>
      <c r="C598" s="97"/>
      <c r="D598" s="97"/>
    </row>
    <row r="599">
      <c r="B599" s="97"/>
      <c r="C599" s="97"/>
      <c r="D599" s="97"/>
    </row>
    <row r="600">
      <c r="B600" s="97"/>
      <c r="C600" s="97"/>
      <c r="D600" s="97"/>
    </row>
    <row r="601">
      <c r="B601" s="97"/>
      <c r="C601" s="97"/>
      <c r="D601" s="97"/>
    </row>
    <row r="602">
      <c r="B602" s="97"/>
      <c r="C602" s="97"/>
      <c r="D602" s="97"/>
    </row>
    <row r="603">
      <c r="B603" s="97"/>
      <c r="C603" s="97"/>
      <c r="D603" s="97"/>
    </row>
    <row r="604">
      <c r="B604" s="97"/>
      <c r="C604" s="97"/>
      <c r="D604" s="97"/>
    </row>
    <row r="605">
      <c r="B605" s="97"/>
      <c r="C605" s="97"/>
      <c r="D605" s="97"/>
    </row>
    <row r="606">
      <c r="B606" s="97"/>
      <c r="C606" s="97"/>
      <c r="D606" s="97"/>
    </row>
    <row r="607">
      <c r="B607" s="97"/>
      <c r="C607" s="97"/>
      <c r="D607" s="97"/>
    </row>
    <row r="608">
      <c r="B608" s="97"/>
      <c r="C608" s="97"/>
      <c r="D608" s="97"/>
    </row>
    <row r="609">
      <c r="B609" s="97"/>
      <c r="C609" s="97"/>
      <c r="D609" s="97"/>
    </row>
    <row r="610">
      <c r="B610" s="97"/>
      <c r="C610" s="97"/>
      <c r="D610" s="97"/>
    </row>
    <row r="611">
      <c r="B611" s="97"/>
      <c r="C611" s="97"/>
      <c r="D611" s="97"/>
    </row>
    <row r="612">
      <c r="B612" s="97"/>
      <c r="C612" s="97"/>
      <c r="D612" s="97"/>
    </row>
    <row r="613">
      <c r="B613" s="97"/>
      <c r="C613" s="97"/>
      <c r="D613" s="97"/>
    </row>
    <row r="614">
      <c r="B614" s="97"/>
      <c r="C614" s="97"/>
      <c r="D614" s="97"/>
    </row>
    <row r="615">
      <c r="B615" s="97"/>
      <c r="C615" s="97"/>
      <c r="D615" s="97"/>
    </row>
    <row r="616">
      <c r="B616" s="97"/>
      <c r="C616" s="97"/>
      <c r="D616" s="97"/>
    </row>
    <row r="617">
      <c r="B617" s="97"/>
      <c r="C617" s="97"/>
      <c r="D617" s="97"/>
    </row>
    <row r="618">
      <c r="B618" s="97"/>
      <c r="C618" s="97"/>
      <c r="D618" s="97"/>
    </row>
    <row r="619">
      <c r="B619" s="97"/>
      <c r="C619" s="97"/>
      <c r="D619" s="97"/>
    </row>
    <row r="620">
      <c r="B620" s="97"/>
      <c r="C620" s="97"/>
      <c r="D620" s="97"/>
    </row>
    <row r="621">
      <c r="B621" s="97"/>
      <c r="C621" s="97"/>
      <c r="D621" s="97"/>
    </row>
    <row r="622">
      <c r="B622" s="97"/>
      <c r="C622" s="97"/>
      <c r="D622" s="97"/>
    </row>
    <row r="623">
      <c r="B623" s="97"/>
      <c r="C623" s="97"/>
      <c r="D623" s="97"/>
    </row>
    <row r="624">
      <c r="B624" s="97"/>
      <c r="C624" s="97"/>
      <c r="D624" s="97"/>
    </row>
    <row r="625">
      <c r="B625" s="97"/>
      <c r="C625" s="97"/>
      <c r="D625" s="97"/>
    </row>
    <row r="626">
      <c r="B626" s="97"/>
      <c r="C626" s="97"/>
      <c r="D626" s="97"/>
    </row>
    <row r="627">
      <c r="B627" s="97"/>
      <c r="C627" s="97"/>
      <c r="D627" s="97"/>
    </row>
    <row r="628">
      <c r="B628" s="97"/>
      <c r="C628" s="97"/>
      <c r="D628" s="97"/>
    </row>
    <row r="629">
      <c r="B629" s="97"/>
      <c r="C629" s="97"/>
      <c r="D629" s="97"/>
    </row>
    <row r="630">
      <c r="B630" s="97"/>
      <c r="C630" s="97"/>
      <c r="D630" s="97"/>
    </row>
    <row r="631">
      <c r="B631" s="97"/>
      <c r="C631" s="97"/>
      <c r="D631" s="97"/>
    </row>
    <row r="632">
      <c r="B632" s="97"/>
      <c r="C632" s="97"/>
      <c r="D632" s="97"/>
    </row>
    <row r="633">
      <c r="B633" s="97"/>
      <c r="C633" s="97"/>
      <c r="D633" s="97"/>
    </row>
    <row r="634">
      <c r="B634" s="97"/>
      <c r="C634" s="97"/>
      <c r="D634" s="97"/>
    </row>
    <row r="635">
      <c r="B635" s="97"/>
      <c r="C635" s="97"/>
      <c r="D635" s="97"/>
    </row>
    <row r="636">
      <c r="B636" s="97"/>
      <c r="C636" s="97"/>
      <c r="D636" s="97"/>
    </row>
    <row r="637">
      <c r="B637" s="97"/>
      <c r="C637" s="97"/>
      <c r="D637" s="97"/>
    </row>
    <row r="638">
      <c r="B638" s="97"/>
      <c r="C638" s="97"/>
      <c r="D638" s="97"/>
    </row>
    <row r="639">
      <c r="B639" s="97"/>
      <c r="C639" s="97"/>
      <c r="D639" s="97"/>
    </row>
    <row r="640">
      <c r="B640" s="97"/>
      <c r="C640" s="97"/>
      <c r="D640" s="97"/>
    </row>
    <row r="641">
      <c r="B641" s="97"/>
      <c r="C641" s="97"/>
      <c r="D641" s="97"/>
    </row>
    <row r="642">
      <c r="B642" s="97"/>
      <c r="C642" s="97"/>
      <c r="D642" s="97"/>
    </row>
    <row r="643">
      <c r="B643" s="97"/>
      <c r="C643" s="97"/>
      <c r="D643" s="97"/>
    </row>
    <row r="644">
      <c r="B644" s="97"/>
      <c r="C644" s="97"/>
      <c r="D644" s="97"/>
    </row>
    <row r="645">
      <c r="B645" s="97"/>
      <c r="C645" s="97"/>
      <c r="D645" s="97"/>
    </row>
    <row r="646">
      <c r="B646" s="97"/>
      <c r="C646" s="97"/>
      <c r="D646" s="97"/>
    </row>
    <row r="647">
      <c r="B647" s="97"/>
      <c r="C647" s="97"/>
      <c r="D647" s="97"/>
    </row>
    <row r="648">
      <c r="B648" s="97"/>
      <c r="C648" s="97"/>
      <c r="D648" s="97"/>
    </row>
    <row r="649">
      <c r="B649" s="97"/>
      <c r="C649" s="97"/>
      <c r="D649" s="97"/>
    </row>
    <row r="650">
      <c r="B650" s="97"/>
      <c r="C650" s="97"/>
      <c r="D650" s="97"/>
    </row>
    <row r="651">
      <c r="B651" s="97"/>
      <c r="C651" s="97"/>
      <c r="D651" s="97"/>
    </row>
    <row r="652">
      <c r="B652" s="97"/>
      <c r="C652" s="97"/>
      <c r="D652" s="97"/>
    </row>
    <row r="653">
      <c r="B653" s="97"/>
      <c r="C653" s="97"/>
      <c r="D653" s="97"/>
    </row>
    <row r="654">
      <c r="B654" s="97"/>
      <c r="C654" s="97"/>
      <c r="D654" s="97"/>
    </row>
    <row r="655">
      <c r="B655" s="97"/>
      <c r="C655" s="97"/>
      <c r="D655" s="97"/>
    </row>
    <row r="656">
      <c r="B656" s="97"/>
      <c r="C656" s="97"/>
      <c r="D656" s="97"/>
    </row>
    <row r="657">
      <c r="B657" s="97"/>
      <c r="C657" s="97"/>
      <c r="D657" s="97"/>
    </row>
    <row r="658">
      <c r="B658" s="97"/>
      <c r="C658" s="97"/>
      <c r="D658" s="97"/>
    </row>
    <row r="659">
      <c r="B659" s="97"/>
      <c r="C659" s="97"/>
      <c r="D659" s="97"/>
    </row>
    <row r="660">
      <c r="B660" s="97"/>
      <c r="C660" s="97"/>
      <c r="D660" s="97"/>
    </row>
    <row r="661">
      <c r="B661" s="97"/>
      <c r="C661" s="97"/>
      <c r="D661" s="97"/>
    </row>
    <row r="662">
      <c r="B662" s="97"/>
      <c r="C662" s="97"/>
      <c r="D662" s="97"/>
    </row>
    <row r="663">
      <c r="B663" s="97"/>
      <c r="C663" s="97"/>
      <c r="D663" s="97"/>
    </row>
    <row r="664">
      <c r="B664" s="97"/>
      <c r="C664" s="97"/>
      <c r="D664" s="97"/>
    </row>
    <row r="665">
      <c r="B665" s="97"/>
      <c r="C665" s="97"/>
      <c r="D665" s="97"/>
    </row>
    <row r="666">
      <c r="B666" s="97"/>
      <c r="C666" s="97"/>
      <c r="D666" s="97"/>
    </row>
    <row r="667">
      <c r="B667" s="97"/>
      <c r="C667" s="97"/>
      <c r="D667" s="97"/>
    </row>
    <row r="668">
      <c r="B668" s="97"/>
      <c r="C668" s="97"/>
      <c r="D668" s="97"/>
    </row>
    <row r="669">
      <c r="B669" s="97"/>
      <c r="C669" s="97"/>
      <c r="D669" s="97"/>
    </row>
    <row r="670">
      <c r="B670" s="97"/>
      <c r="C670" s="97"/>
      <c r="D670" s="97"/>
    </row>
    <row r="671">
      <c r="B671" s="97"/>
      <c r="C671" s="97"/>
      <c r="D671" s="97"/>
    </row>
    <row r="672">
      <c r="B672" s="97"/>
      <c r="C672" s="97"/>
      <c r="D672" s="97"/>
    </row>
    <row r="673">
      <c r="B673" s="97"/>
      <c r="C673" s="97"/>
      <c r="D673" s="97"/>
    </row>
    <row r="674">
      <c r="B674" s="97"/>
      <c r="C674" s="97"/>
      <c r="D674" s="97"/>
    </row>
    <row r="675">
      <c r="B675" s="97"/>
      <c r="C675" s="97"/>
      <c r="D675" s="97"/>
    </row>
    <row r="676">
      <c r="B676" s="97"/>
      <c r="C676" s="97"/>
      <c r="D676" s="97"/>
    </row>
    <row r="677">
      <c r="B677" s="97"/>
      <c r="C677" s="97"/>
      <c r="D677" s="97"/>
    </row>
    <row r="678">
      <c r="B678" s="97"/>
      <c r="C678" s="97"/>
      <c r="D678" s="97"/>
    </row>
    <row r="679">
      <c r="B679" s="97"/>
      <c r="C679" s="97"/>
      <c r="D679" s="97"/>
    </row>
    <row r="680">
      <c r="B680" s="97"/>
      <c r="C680" s="97"/>
      <c r="D680" s="97"/>
    </row>
    <row r="681">
      <c r="B681" s="97"/>
      <c r="C681" s="97"/>
      <c r="D681" s="97"/>
    </row>
    <row r="682">
      <c r="B682" s="97"/>
      <c r="C682" s="97"/>
      <c r="D682" s="97"/>
    </row>
    <row r="683">
      <c r="B683" s="97"/>
      <c r="C683" s="97"/>
      <c r="D683" s="97"/>
    </row>
    <row r="684">
      <c r="B684" s="97"/>
      <c r="C684" s="97"/>
      <c r="D684" s="97"/>
    </row>
    <row r="685">
      <c r="B685" s="97"/>
      <c r="C685" s="97"/>
      <c r="D685" s="97"/>
    </row>
    <row r="686">
      <c r="B686" s="97"/>
      <c r="C686" s="97"/>
      <c r="D686" s="97"/>
    </row>
    <row r="687">
      <c r="B687" s="97"/>
      <c r="C687" s="97"/>
      <c r="D687" s="97"/>
    </row>
    <row r="688">
      <c r="B688" s="97"/>
      <c r="C688" s="97"/>
      <c r="D688" s="97"/>
    </row>
    <row r="689">
      <c r="B689" s="97"/>
      <c r="C689" s="97"/>
      <c r="D689" s="97"/>
    </row>
    <row r="690">
      <c r="B690" s="97"/>
      <c r="C690" s="97"/>
      <c r="D690" s="97"/>
    </row>
    <row r="691">
      <c r="B691" s="97"/>
      <c r="C691" s="97"/>
      <c r="D691" s="97"/>
    </row>
    <row r="692">
      <c r="B692" s="97"/>
      <c r="C692" s="97"/>
      <c r="D692" s="97"/>
    </row>
    <row r="693">
      <c r="B693" s="97"/>
      <c r="C693" s="97"/>
      <c r="D693" s="97"/>
    </row>
    <row r="694">
      <c r="B694" s="97"/>
      <c r="C694" s="97"/>
      <c r="D694" s="97"/>
    </row>
    <row r="695">
      <c r="B695" s="97"/>
      <c r="C695" s="97"/>
      <c r="D695" s="97"/>
    </row>
    <row r="696">
      <c r="B696" s="97"/>
      <c r="C696" s="97"/>
      <c r="D696" s="97"/>
    </row>
    <row r="697">
      <c r="B697" s="97"/>
      <c r="C697" s="97"/>
      <c r="D697" s="97"/>
    </row>
    <row r="698">
      <c r="B698" s="97"/>
      <c r="C698" s="97"/>
      <c r="D698" s="97"/>
    </row>
    <row r="699">
      <c r="B699" s="97"/>
      <c r="C699" s="97"/>
      <c r="D699" s="97"/>
    </row>
    <row r="700">
      <c r="B700" s="97"/>
      <c r="C700" s="97"/>
      <c r="D700" s="97"/>
    </row>
    <row r="701">
      <c r="B701" s="97"/>
      <c r="C701" s="97"/>
      <c r="D701" s="97"/>
    </row>
    <row r="702">
      <c r="B702" s="97"/>
      <c r="C702" s="97"/>
      <c r="D702" s="97"/>
    </row>
    <row r="703">
      <c r="B703" s="97"/>
      <c r="C703" s="97"/>
      <c r="D703" s="97"/>
    </row>
    <row r="704">
      <c r="B704" s="97"/>
      <c r="C704" s="97"/>
      <c r="D704" s="97"/>
    </row>
    <row r="705">
      <c r="B705" s="97"/>
      <c r="C705" s="97"/>
      <c r="D705" s="97"/>
    </row>
    <row r="706">
      <c r="B706" s="97"/>
      <c r="C706" s="97"/>
      <c r="D706" s="97"/>
    </row>
    <row r="707">
      <c r="B707" s="97"/>
      <c r="C707" s="97"/>
      <c r="D707" s="97"/>
    </row>
    <row r="708">
      <c r="B708" s="97"/>
      <c r="C708" s="97"/>
      <c r="D708" s="97"/>
    </row>
    <row r="709">
      <c r="B709" s="97"/>
      <c r="C709" s="97"/>
      <c r="D709" s="97"/>
    </row>
    <row r="710">
      <c r="B710" s="97"/>
      <c r="C710" s="97"/>
      <c r="D710" s="97"/>
    </row>
    <row r="711">
      <c r="B711" s="97"/>
      <c r="C711" s="97"/>
      <c r="D711" s="97"/>
    </row>
    <row r="712">
      <c r="B712" s="97"/>
      <c r="C712" s="97"/>
      <c r="D712" s="97"/>
    </row>
    <row r="713">
      <c r="B713" s="97"/>
      <c r="C713" s="97"/>
      <c r="D713" s="97"/>
    </row>
    <row r="714">
      <c r="B714" s="97"/>
      <c r="C714" s="97"/>
      <c r="D714" s="97"/>
    </row>
    <row r="715">
      <c r="B715" s="97"/>
      <c r="C715" s="97"/>
      <c r="D715" s="97"/>
    </row>
    <row r="716">
      <c r="B716" s="97"/>
      <c r="C716" s="97"/>
      <c r="D716" s="97"/>
    </row>
    <row r="717">
      <c r="B717" s="97"/>
      <c r="C717" s="97"/>
      <c r="D717" s="97"/>
    </row>
    <row r="718">
      <c r="B718" s="97"/>
      <c r="C718" s="97"/>
      <c r="D718" s="97"/>
    </row>
    <row r="719">
      <c r="B719" s="97"/>
      <c r="C719" s="97"/>
      <c r="D719" s="97"/>
    </row>
    <row r="720">
      <c r="B720" s="97"/>
      <c r="C720" s="97"/>
      <c r="D720" s="97"/>
    </row>
    <row r="721">
      <c r="B721" s="97"/>
      <c r="C721" s="97"/>
      <c r="D721" s="97"/>
    </row>
    <row r="722">
      <c r="B722" s="97"/>
      <c r="C722" s="97"/>
      <c r="D722" s="97"/>
    </row>
    <row r="723">
      <c r="B723" s="97"/>
      <c r="C723" s="97"/>
      <c r="D723" s="97"/>
    </row>
    <row r="724">
      <c r="B724" s="97"/>
      <c r="C724" s="97"/>
      <c r="D724" s="97"/>
    </row>
    <row r="725">
      <c r="B725" s="97"/>
      <c r="C725" s="97"/>
      <c r="D725" s="97"/>
    </row>
    <row r="726">
      <c r="B726" s="97"/>
      <c r="C726" s="97"/>
      <c r="D726" s="97"/>
    </row>
    <row r="727">
      <c r="B727" s="97"/>
      <c r="C727" s="97"/>
      <c r="D727" s="97"/>
    </row>
    <row r="728">
      <c r="B728" s="97"/>
      <c r="C728" s="97"/>
      <c r="D728" s="97"/>
    </row>
    <row r="729">
      <c r="B729" s="97"/>
      <c r="C729" s="97"/>
      <c r="D729" s="97"/>
    </row>
    <row r="730">
      <c r="B730" s="97"/>
      <c r="C730" s="97"/>
      <c r="D730" s="97"/>
    </row>
    <row r="731">
      <c r="B731" s="97"/>
      <c r="C731" s="97"/>
      <c r="D731" s="97"/>
    </row>
    <row r="732">
      <c r="B732" s="97"/>
      <c r="C732" s="97"/>
      <c r="D732" s="97"/>
    </row>
    <row r="733">
      <c r="B733" s="97"/>
      <c r="C733" s="97"/>
      <c r="D733" s="97"/>
    </row>
    <row r="734">
      <c r="B734" s="97"/>
      <c r="C734" s="97"/>
      <c r="D734" s="97"/>
    </row>
    <row r="735">
      <c r="B735" s="97"/>
      <c r="C735" s="97"/>
      <c r="D735" s="97"/>
    </row>
    <row r="736">
      <c r="B736" s="97"/>
      <c r="C736" s="97"/>
      <c r="D736" s="97"/>
    </row>
    <row r="737">
      <c r="B737" s="97"/>
      <c r="C737" s="97"/>
      <c r="D737" s="97"/>
    </row>
    <row r="738">
      <c r="B738" s="97"/>
      <c r="C738" s="97"/>
      <c r="D738" s="97"/>
    </row>
    <row r="739">
      <c r="B739" s="97"/>
      <c r="C739" s="97"/>
      <c r="D739" s="97"/>
    </row>
    <row r="740">
      <c r="B740" s="97"/>
      <c r="C740" s="97"/>
      <c r="D740" s="97"/>
    </row>
    <row r="741">
      <c r="B741" s="97"/>
      <c r="C741" s="97"/>
      <c r="D741" s="97"/>
    </row>
    <row r="742">
      <c r="B742" s="97"/>
      <c r="C742" s="97"/>
      <c r="D742" s="97"/>
    </row>
    <row r="743">
      <c r="B743" s="97"/>
      <c r="C743" s="97"/>
      <c r="D743" s="97"/>
    </row>
    <row r="744">
      <c r="B744" s="97"/>
      <c r="C744" s="97"/>
      <c r="D744" s="97"/>
    </row>
    <row r="745">
      <c r="B745" s="97"/>
      <c r="C745" s="97"/>
      <c r="D745" s="97"/>
    </row>
    <row r="746">
      <c r="B746" s="97"/>
      <c r="C746" s="97"/>
      <c r="D746" s="97"/>
    </row>
    <row r="747">
      <c r="B747" s="97"/>
      <c r="C747" s="97"/>
      <c r="D747" s="97"/>
    </row>
    <row r="748">
      <c r="B748" s="97"/>
      <c r="C748" s="97"/>
      <c r="D748" s="97"/>
    </row>
    <row r="749">
      <c r="B749" s="97"/>
      <c r="C749" s="97"/>
      <c r="D749" s="97"/>
    </row>
    <row r="750">
      <c r="B750" s="97"/>
      <c r="C750" s="97"/>
      <c r="D750" s="97"/>
    </row>
    <row r="751">
      <c r="B751" s="97"/>
      <c r="C751" s="97"/>
      <c r="D751" s="97"/>
    </row>
    <row r="752">
      <c r="B752" s="97"/>
      <c r="C752" s="97"/>
      <c r="D752" s="97"/>
    </row>
    <row r="753">
      <c r="B753" s="97"/>
      <c r="C753" s="97"/>
      <c r="D753" s="97"/>
    </row>
    <row r="754">
      <c r="B754" s="97"/>
      <c r="C754" s="97"/>
      <c r="D754" s="97"/>
    </row>
    <row r="755">
      <c r="B755" s="97"/>
      <c r="C755" s="97"/>
      <c r="D755" s="97"/>
    </row>
    <row r="756">
      <c r="B756" s="97"/>
      <c r="C756" s="97"/>
      <c r="D756" s="97"/>
    </row>
    <row r="757">
      <c r="B757" s="97"/>
      <c r="C757" s="97"/>
      <c r="D757" s="97"/>
    </row>
    <row r="758">
      <c r="B758" s="97"/>
      <c r="C758" s="97"/>
      <c r="D758" s="97"/>
    </row>
    <row r="759">
      <c r="B759" s="97"/>
      <c r="C759" s="97"/>
      <c r="D759" s="97"/>
    </row>
    <row r="760">
      <c r="B760" s="97"/>
      <c r="C760" s="97"/>
      <c r="D760" s="97"/>
    </row>
    <row r="761">
      <c r="B761" s="97"/>
      <c r="C761" s="97"/>
      <c r="D761" s="97"/>
    </row>
    <row r="762">
      <c r="B762" s="97"/>
      <c r="C762" s="97"/>
      <c r="D762" s="97"/>
    </row>
    <row r="763">
      <c r="B763" s="97"/>
      <c r="C763" s="97"/>
      <c r="D763" s="97"/>
    </row>
    <row r="764">
      <c r="B764" s="97"/>
      <c r="C764" s="97"/>
      <c r="D764" s="97"/>
    </row>
    <row r="765">
      <c r="B765" s="97"/>
      <c r="C765" s="97"/>
      <c r="D765" s="97"/>
    </row>
    <row r="766">
      <c r="B766" s="97"/>
      <c r="C766" s="97"/>
      <c r="D766" s="97"/>
    </row>
    <row r="767">
      <c r="B767" s="97"/>
      <c r="C767" s="97"/>
      <c r="D767" s="97"/>
    </row>
    <row r="768">
      <c r="B768" s="97"/>
      <c r="C768" s="97"/>
      <c r="D768" s="97"/>
    </row>
    <row r="769">
      <c r="B769" s="97"/>
      <c r="C769" s="97"/>
      <c r="D769" s="97"/>
    </row>
    <row r="770">
      <c r="B770" s="97"/>
      <c r="C770" s="97"/>
      <c r="D770" s="97"/>
    </row>
    <row r="771">
      <c r="B771" s="97"/>
      <c r="C771" s="97"/>
      <c r="D771" s="97"/>
    </row>
    <row r="772">
      <c r="B772" s="97"/>
      <c r="C772" s="97"/>
      <c r="D772" s="97"/>
    </row>
    <row r="773">
      <c r="B773" s="97"/>
      <c r="C773" s="97"/>
      <c r="D773" s="97"/>
    </row>
    <row r="774">
      <c r="B774" s="97"/>
      <c r="C774" s="97"/>
      <c r="D774" s="97"/>
    </row>
    <row r="775">
      <c r="B775" s="97"/>
      <c r="C775" s="97"/>
      <c r="D775" s="97"/>
    </row>
    <row r="776">
      <c r="B776" s="97"/>
      <c r="C776" s="97"/>
      <c r="D776" s="97"/>
    </row>
    <row r="777">
      <c r="B777" s="97"/>
      <c r="C777" s="97"/>
      <c r="D777" s="97"/>
    </row>
    <row r="778">
      <c r="B778" s="97"/>
      <c r="C778" s="97"/>
      <c r="D778" s="97"/>
    </row>
    <row r="779">
      <c r="B779" s="97"/>
      <c r="C779" s="97"/>
      <c r="D779" s="97"/>
    </row>
    <row r="780">
      <c r="B780" s="97"/>
      <c r="C780" s="97"/>
      <c r="D780" s="97"/>
    </row>
    <row r="781">
      <c r="B781" s="97"/>
      <c r="C781" s="97"/>
      <c r="D781" s="97"/>
    </row>
    <row r="782">
      <c r="B782" s="97"/>
      <c r="C782" s="97"/>
      <c r="D782" s="97"/>
    </row>
    <row r="783">
      <c r="B783" s="97"/>
      <c r="C783" s="97"/>
      <c r="D783" s="97"/>
    </row>
    <row r="784">
      <c r="B784" s="97"/>
      <c r="C784" s="97"/>
      <c r="D784" s="97"/>
    </row>
    <row r="785">
      <c r="B785" s="97"/>
      <c r="C785" s="97"/>
      <c r="D785" s="97"/>
    </row>
    <row r="786">
      <c r="B786" s="97"/>
      <c r="C786" s="97"/>
      <c r="D786" s="97"/>
    </row>
    <row r="787">
      <c r="B787" s="97"/>
      <c r="C787" s="97"/>
      <c r="D787" s="97"/>
    </row>
    <row r="788">
      <c r="B788" s="97"/>
      <c r="C788" s="97"/>
      <c r="D788" s="97"/>
    </row>
    <row r="789">
      <c r="B789" s="97"/>
      <c r="C789" s="97"/>
      <c r="D789" s="97"/>
    </row>
    <row r="790">
      <c r="B790" s="97"/>
      <c r="C790" s="97"/>
      <c r="D790" s="97"/>
    </row>
    <row r="791">
      <c r="B791" s="97"/>
      <c r="C791" s="97"/>
      <c r="D791" s="97"/>
    </row>
    <row r="792">
      <c r="B792" s="97"/>
      <c r="C792" s="97"/>
      <c r="D792" s="97"/>
    </row>
    <row r="793">
      <c r="B793" s="97"/>
      <c r="C793" s="97"/>
      <c r="D793" s="97"/>
    </row>
    <row r="794">
      <c r="B794" s="97"/>
      <c r="C794" s="97"/>
      <c r="D794" s="97"/>
    </row>
    <row r="795">
      <c r="B795" s="97"/>
      <c r="C795" s="97"/>
      <c r="D795" s="97"/>
    </row>
    <row r="796">
      <c r="B796" s="97"/>
      <c r="C796" s="97"/>
      <c r="D796" s="97"/>
    </row>
    <row r="797">
      <c r="B797" s="97"/>
      <c r="C797" s="97"/>
      <c r="D797" s="97"/>
    </row>
    <row r="798">
      <c r="B798" s="97"/>
      <c r="C798" s="97"/>
      <c r="D798" s="97"/>
    </row>
    <row r="799">
      <c r="B799" s="97"/>
      <c r="C799" s="97"/>
      <c r="D799" s="97"/>
    </row>
    <row r="800">
      <c r="B800" s="97"/>
      <c r="C800" s="97"/>
      <c r="D800" s="97"/>
    </row>
    <row r="801">
      <c r="B801" s="97"/>
      <c r="C801" s="97"/>
      <c r="D801" s="97"/>
    </row>
    <row r="802">
      <c r="B802" s="97"/>
      <c r="C802" s="97"/>
      <c r="D802" s="97"/>
    </row>
    <row r="803">
      <c r="B803" s="97"/>
      <c r="C803" s="97"/>
      <c r="D803" s="97"/>
    </row>
    <row r="804">
      <c r="B804" s="97"/>
      <c r="C804" s="97"/>
      <c r="D804" s="97"/>
    </row>
    <row r="805">
      <c r="B805" s="97"/>
      <c r="C805" s="97"/>
      <c r="D805" s="97"/>
    </row>
    <row r="806">
      <c r="B806" s="97"/>
      <c r="C806" s="97"/>
      <c r="D806" s="97"/>
    </row>
    <row r="807">
      <c r="B807" s="97"/>
      <c r="C807" s="97"/>
      <c r="D807" s="97"/>
    </row>
    <row r="808">
      <c r="B808" s="97"/>
      <c r="C808" s="97"/>
      <c r="D808" s="97"/>
    </row>
    <row r="809">
      <c r="B809" s="97"/>
      <c r="C809" s="97"/>
      <c r="D809" s="97"/>
    </row>
    <row r="810">
      <c r="B810" s="97"/>
      <c r="C810" s="97"/>
      <c r="D810" s="97"/>
    </row>
    <row r="811">
      <c r="B811" s="97"/>
      <c r="C811" s="97"/>
      <c r="D811" s="97"/>
    </row>
    <row r="812">
      <c r="B812" s="97"/>
      <c r="C812" s="97"/>
      <c r="D812" s="97"/>
    </row>
    <row r="813">
      <c r="B813" s="97"/>
      <c r="C813" s="97"/>
      <c r="D813" s="97"/>
    </row>
    <row r="814">
      <c r="B814" s="97"/>
      <c r="C814" s="97"/>
      <c r="D814" s="97"/>
    </row>
    <row r="815">
      <c r="B815" s="97"/>
      <c r="C815" s="97"/>
      <c r="D815" s="97"/>
    </row>
    <row r="816">
      <c r="B816" s="97"/>
      <c r="C816" s="97"/>
      <c r="D816" s="97"/>
    </row>
    <row r="817">
      <c r="B817" s="97"/>
      <c r="C817" s="97"/>
      <c r="D817" s="97"/>
    </row>
    <row r="818">
      <c r="B818" s="97"/>
      <c r="C818" s="97"/>
      <c r="D818" s="97"/>
    </row>
    <row r="819">
      <c r="B819" s="97"/>
      <c r="C819" s="97"/>
      <c r="D819" s="97"/>
    </row>
    <row r="820">
      <c r="B820" s="97"/>
      <c r="C820" s="97"/>
      <c r="D820" s="97"/>
    </row>
    <row r="821">
      <c r="B821" s="97"/>
      <c r="C821" s="97"/>
      <c r="D821" s="97"/>
    </row>
    <row r="822">
      <c r="B822" s="97"/>
      <c r="C822" s="97"/>
      <c r="D822" s="97"/>
    </row>
    <row r="823">
      <c r="B823" s="97"/>
      <c r="C823" s="97"/>
      <c r="D823" s="97"/>
    </row>
    <row r="824">
      <c r="B824" s="97"/>
      <c r="C824" s="97"/>
      <c r="D824" s="97"/>
    </row>
    <row r="825">
      <c r="B825" s="97"/>
      <c r="C825" s="97"/>
      <c r="D825" s="97"/>
    </row>
    <row r="826">
      <c r="B826" s="97"/>
      <c r="C826" s="97"/>
      <c r="D826" s="97"/>
    </row>
    <row r="827">
      <c r="B827" s="97"/>
      <c r="C827" s="97"/>
      <c r="D827" s="97"/>
    </row>
    <row r="828">
      <c r="B828" s="97"/>
      <c r="C828" s="97"/>
      <c r="D828" s="97"/>
    </row>
    <row r="829">
      <c r="B829" s="97"/>
      <c r="C829" s="97"/>
      <c r="D829" s="97"/>
    </row>
    <row r="830">
      <c r="B830" s="97"/>
      <c r="C830" s="97"/>
      <c r="D830" s="97"/>
    </row>
    <row r="831">
      <c r="B831" s="97"/>
      <c r="C831" s="97"/>
      <c r="D831" s="97"/>
    </row>
    <row r="832">
      <c r="B832" s="97"/>
      <c r="C832" s="97"/>
      <c r="D832" s="97"/>
    </row>
    <row r="833">
      <c r="B833" s="97"/>
      <c r="C833" s="97"/>
      <c r="D833" s="97"/>
    </row>
    <row r="834">
      <c r="B834" s="97"/>
      <c r="C834" s="97"/>
      <c r="D834" s="97"/>
    </row>
    <row r="835">
      <c r="B835" s="97"/>
      <c r="C835" s="97"/>
      <c r="D835" s="97"/>
    </row>
    <row r="836">
      <c r="B836" s="97"/>
      <c r="C836" s="97"/>
      <c r="D836" s="97"/>
    </row>
    <row r="837">
      <c r="B837" s="97"/>
      <c r="C837" s="97"/>
      <c r="D837" s="97"/>
    </row>
    <row r="838">
      <c r="B838" s="97"/>
      <c r="C838" s="97"/>
      <c r="D838" s="97"/>
    </row>
    <row r="839">
      <c r="B839" s="97"/>
      <c r="C839" s="97"/>
      <c r="D839" s="97"/>
    </row>
    <row r="840">
      <c r="B840" s="97"/>
      <c r="C840" s="97"/>
      <c r="D840" s="97"/>
    </row>
    <row r="841">
      <c r="B841" s="97"/>
      <c r="C841" s="97"/>
      <c r="D841" s="97"/>
    </row>
    <row r="842">
      <c r="B842" s="97"/>
      <c r="C842" s="97"/>
      <c r="D842" s="97"/>
    </row>
    <row r="843">
      <c r="B843" s="97"/>
      <c r="C843" s="97"/>
      <c r="D843" s="97"/>
    </row>
    <row r="844">
      <c r="B844" s="97"/>
      <c r="C844" s="97"/>
      <c r="D844" s="97"/>
    </row>
    <row r="845">
      <c r="B845" s="97"/>
      <c r="C845" s="97"/>
      <c r="D845" s="97"/>
    </row>
    <row r="846">
      <c r="B846" s="97"/>
      <c r="C846" s="97"/>
      <c r="D846" s="97"/>
    </row>
    <row r="847">
      <c r="B847" s="97"/>
      <c r="C847" s="97"/>
      <c r="D847" s="97"/>
    </row>
    <row r="848">
      <c r="B848" s="97"/>
      <c r="C848" s="97"/>
      <c r="D848" s="97"/>
    </row>
    <row r="849">
      <c r="B849" s="97"/>
      <c r="C849" s="97"/>
      <c r="D849" s="97"/>
    </row>
    <row r="850">
      <c r="B850" s="97"/>
      <c r="C850" s="97"/>
      <c r="D850" s="97"/>
    </row>
    <row r="851">
      <c r="B851" s="97"/>
      <c r="C851" s="97"/>
      <c r="D851" s="97"/>
    </row>
    <row r="852">
      <c r="B852" s="97"/>
      <c r="C852" s="97"/>
      <c r="D852" s="97"/>
    </row>
    <row r="853">
      <c r="B853" s="97"/>
      <c r="C853" s="97"/>
      <c r="D853" s="97"/>
    </row>
    <row r="854">
      <c r="B854" s="97"/>
      <c r="C854" s="97"/>
      <c r="D854" s="97"/>
    </row>
    <row r="855">
      <c r="B855" s="97"/>
      <c r="C855" s="97"/>
      <c r="D855" s="97"/>
    </row>
    <row r="856">
      <c r="B856" s="97"/>
      <c r="C856" s="97"/>
      <c r="D856" s="97"/>
    </row>
    <row r="857">
      <c r="B857" s="97"/>
      <c r="C857" s="97"/>
      <c r="D857" s="97"/>
    </row>
    <row r="858">
      <c r="B858" s="97"/>
      <c r="C858" s="97"/>
      <c r="D858" s="97"/>
    </row>
    <row r="859">
      <c r="B859" s="97"/>
      <c r="C859" s="97"/>
      <c r="D859" s="97"/>
    </row>
    <row r="860">
      <c r="B860" s="97"/>
      <c r="C860" s="97"/>
      <c r="D860" s="97"/>
    </row>
    <row r="861">
      <c r="B861" s="97"/>
      <c r="C861" s="97"/>
      <c r="D861" s="97"/>
    </row>
    <row r="862">
      <c r="B862" s="97"/>
      <c r="C862" s="97"/>
      <c r="D862" s="97"/>
    </row>
    <row r="863">
      <c r="B863" s="97"/>
      <c r="C863" s="97"/>
      <c r="D863" s="97"/>
    </row>
    <row r="864">
      <c r="B864" s="97"/>
      <c r="C864" s="97"/>
      <c r="D864" s="97"/>
    </row>
    <row r="865">
      <c r="B865" s="97"/>
      <c r="C865" s="97"/>
      <c r="D865" s="97"/>
    </row>
    <row r="866">
      <c r="B866" s="97"/>
      <c r="C866" s="97"/>
      <c r="D866" s="97"/>
    </row>
    <row r="867">
      <c r="B867" s="97"/>
      <c r="C867" s="97"/>
      <c r="D867" s="97"/>
    </row>
    <row r="868">
      <c r="B868" s="97"/>
      <c r="C868" s="97"/>
      <c r="D868" s="97"/>
    </row>
    <row r="869">
      <c r="B869" s="97"/>
      <c r="C869" s="97"/>
      <c r="D869" s="97"/>
    </row>
    <row r="870">
      <c r="B870" s="97"/>
      <c r="C870" s="97"/>
      <c r="D870" s="97"/>
    </row>
    <row r="871">
      <c r="B871" s="97"/>
      <c r="C871" s="97"/>
      <c r="D871" s="97"/>
    </row>
    <row r="872">
      <c r="B872" s="97"/>
      <c r="C872" s="97"/>
      <c r="D872" s="97"/>
    </row>
    <row r="873">
      <c r="B873" s="97"/>
      <c r="C873" s="97"/>
      <c r="D873" s="97"/>
    </row>
    <row r="874">
      <c r="B874" s="97"/>
      <c r="C874" s="97"/>
      <c r="D874" s="97"/>
    </row>
    <row r="875">
      <c r="B875" s="97"/>
      <c r="C875" s="97"/>
      <c r="D875" s="97"/>
    </row>
    <row r="876">
      <c r="B876" s="97"/>
      <c r="C876" s="97"/>
      <c r="D876" s="97"/>
    </row>
    <row r="877">
      <c r="B877" s="97"/>
      <c r="C877" s="97"/>
      <c r="D877" s="97"/>
    </row>
    <row r="878">
      <c r="B878" s="97"/>
      <c r="C878" s="97"/>
      <c r="D878" s="97"/>
    </row>
    <row r="879">
      <c r="B879" s="97"/>
      <c r="C879" s="97"/>
      <c r="D879" s="97"/>
    </row>
    <row r="880">
      <c r="B880" s="97"/>
      <c r="C880" s="97"/>
      <c r="D880" s="97"/>
    </row>
    <row r="881">
      <c r="B881" s="97"/>
      <c r="C881" s="97"/>
      <c r="D881" s="97"/>
    </row>
    <row r="882">
      <c r="B882" s="97"/>
      <c r="C882" s="97"/>
      <c r="D882" s="97"/>
    </row>
    <row r="883">
      <c r="B883" s="97"/>
      <c r="C883" s="97"/>
      <c r="D883" s="97"/>
    </row>
    <row r="884">
      <c r="B884" s="97"/>
      <c r="C884" s="97"/>
      <c r="D884" s="97"/>
    </row>
    <row r="885">
      <c r="B885" s="97"/>
      <c r="C885" s="97"/>
      <c r="D885" s="97"/>
    </row>
    <row r="886">
      <c r="B886" s="97"/>
      <c r="C886" s="97"/>
      <c r="D886" s="97"/>
    </row>
    <row r="887">
      <c r="B887" s="97"/>
      <c r="C887" s="97"/>
      <c r="D887" s="97"/>
    </row>
    <row r="888">
      <c r="B888" s="97"/>
      <c r="C888" s="97"/>
      <c r="D888" s="97"/>
    </row>
    <row r="889">
      <c r="B889" s="97"/>
      <c r="C889" s="97"/>
      <c r="D889" s="97"/>
    </row>
    <row r="890">
      <c r="B890" s="97"/>
      <c r="C890" s="97"/>
      <c r="D890" s="97"/>
    </row>
    <row r="891">
      <c r="B891" s="97"/>
      <c r="C891" s="97"/>
      <c r="D891" s="97"/>
    </row>
    <row r="892">
      <c r="B892" s="97"/>
      <c r="C892" s="97"/>
      <c r="D892" s="97"/>
    </row>
    <row r="893">
      <c r="B893" s="97"/>
      <c r="C893" s="97"/>
      <c r="D893" s="97"/>
    </row>
    <row r="894">
      <c r="B894" s="97"/>
      <c r="C894" s="97"/>
      <c r="D894" s="97"/>
    </row>
    <row r="895">
      <c r="B895" s="97"/>
      <c r="C895" s="97"/>
      <c r="D895" s="97"/>
    </row>
    <row r="896">
      <c r="B896" s="97"/>
      <c r="C896" s="97"/>
      <c r="D896" s="97"/>
    </row>
    <row r="897">
      <c r="B897" s="97"/>
      <c r="C897" s="97"/>
      <c r="D897" s="97"/>
    </row>
    <row r="898">
      <c r="B898" s="97"/>
      <c r="C898" s="97"/>
      <c r="D898" s="97"/>
    </row>
    <row r="899">
      <c r="B899" s="97"/>
      <c r="C899" s="97"/>
      <c r="D899" s="97"/>
    </row>
    <row r="900">
      <c r="B900" s="97"/>
      <c r="C900" s="97"/>
      <c r="D900" s="97"/>
    </row>
    <row r="901">
      <c r="B901" s="97"/>
      <c r="C901" s="97"/>
      <c r="D901" s="97"/>
    </row>
    <row r="902">
      <c r="B902" s="97"/>
      <c r="C902" s="97"/>
      <c r="D902" s="97"/>
    </row>
    <row r="903">
      <c r="B903" s="97"/>
      <c r="C903" s="97"/>
      <c r="D903" s="97"/>
    </row>
    <row r="904">
      <c r="B904" s="97"/>
      <c r="C904" s="97"/>
      <c r="D904" s="97"/>
    </row>
    <row r="905">
      <c r="B905" s="97"/>
      <c r="C905" s="97"/>
      <c r="D905" s="97"/>
    </row>
    <row r="906">
      <c r="B906" s="97"/>
      <c r="C906" s="97"/>
      <c r="D906" s="97"/>
    </row>
    <row r="907">
      <c r="B907" s="97"/>
      <c r="C907" s="97"/>
      <c r="D907" s="97"/>
    </row>
    <row r="908">
      <c r="B908" s="97"/>
      <c r="C908" s="97"/>
      <c r="D908" s="97"/>
    </row>
    <row r="909">
      <c r="B909" s="97"/>
      <c r="C909" s="97"/>
      <c r="D909" s="97"/>
    </row>
    <row r="910">
      <c r="B910" s="97"/>
      <c r="C910" s="97"/>
      <c r="D910" s="97"/>
    </row>
    <row r="911">
      <c r="B911" s="97"/>
      <c r="C911" s="97"/>
      <c r="D911" s="97"/>
    </row>
    <row r="912">
      <c r="B912" s="97"/>
      <c r="C912" s="97"/>
      <c r="D912" s="97"/>
    </row>
    <row r="913">
      <c r="B913" s="97"/>
      <c r="C913" s="97"/>
      <c r="D913" s="97"/>
    </row>
    <row r="914">
      <c r="B914" s="97"/>
      <c r="C914" s="97"/>
      <c r="D914" s="97"/>
    </row>
    <row r="915">
      <c r="B915" s="97"/>
      <c r="C915" s="97"/>
      <c r="D915" s="97"/>
    </row>
    <row r="916">
      <c r="B916" s="97"/>
      <c r="C916" s="97"/>
      <c r="D916" s="97"/>
    </row>
    <row r="917">
      <c r="B917" s="97"/>
      <c r="C917" s="97"/>
      <c r="D917" s="97"/>
    </row>
    <row r="918">
      <c r="B918" s="97"/>
      <c r="C918" s="97"/>
      <c r="D918" s="97"/>
    </row>
    <row r="919">
      <c r="B919" s="97"/>
      <c r="C919" s="97"/>
      <c r="D919" s="97"/>
    </row>
    <row r="920">
      <c r="B920" s="97"/>
      <c r="C920" s="97"/>
      <c r="D920" s="97"/>
    </row>
    <row r="921">
      <c r="B921" s="97"/>
      <c r="C921" s="97"/>
      <c r="D921" s="97"/>
    </row>
    <row r="922">
      <c r="B922" s="97"/>
      <c r="C922" s="97"/>
      <c r="D922" s="97"/>
    </row>
    <row r="923">
      <c r="B923" s="97"/>
      <c r="C923" s="97"/>
      <c r="D923" s="97"/>
    </row>
    <row r="924">
      <c r="B924" s="97"/>
      <c r="C924" s="97"/>
      <c r="D924" s="97"/>
    </row>
    <row r="925">
      <c r="B925" s="97"/>
      <c r="C925" s="97"/>
      <c r="D925" s="97"/>
    </row>
    <row r="926">
      <c r="B926" s="97"/>
      <c r="C926" s="97"/>
      <c r="D926" s="97"/>
    </row>
    <row r="927">
      <c r="B927" s="97"/>
      <c r="C927" s="97"/>
      <c r="D927" s="97"/>
    </row>
    <row r="928">
      <c r="B928" s="97"/>
      <c r="C928" s="97"/>
      <c r="D928" s="97"/>
    </row>
    <row r="929">
      <c r="B929" s="97"/>
      <c r="C929" s="97"/>
      <c r="D929" s="97"/>
    </row>
    <row r="930">
      <c r="B930" s="97"/>
      <c r="C930" s="97"/>
      <c r="D930" s="97"/>
    </row>
    <row r="931">
      <c r="B931" s="97"/>
      <c r="C931" s="97"/>
      <c r="D931" s="97"/>
    </row>
    <row r="932">
      <c r="B932" s="97"/>
      <c r="C932" s="97"/>
      <c r="D932" s="97"/>
    </row>
    <row r="933">
      <c r="B933" s="97"/>
      <c r="C933" s="97"/>
      <c r="D933" s="97"/>
    </row>
    <row r="934">
      <c r="B934" s="97"/>
      <c r="C934" s="97"/>
      <c r="D934" s="97"/>
    </row>
    <row r="935">
      <c r="B935" s="97"/>
      <c r="C935" s="97"/>
      <c r="D935" s="97"/>
    </row>
    <row r="936">
      <c r="B936" s="97"/>
      <c r="C936" s="97"/>
      <c r="D936" s="97"/>
    </row>
    <row r="937">
      <c r="B937" s="97"/>
      <c r="C937" s="97"/>
      <c r="D937" s="97"/>
    </row>
    <row r="938">
      <c r="B938" s="97"/>
      <c r="C938" s="97"/>
      <c r="D938" s="97"/>
    </row>
    <row r="939">
      <c r="B939" s="97"/>
      <c r="C939" s="97"/>
      <c r="D939" s="97"/>
    </row>
    <row r="940">
      <c r="B940" s="97"/>
      <c r="C940" s="97"/>
      <c r="D940" s="97"/>
    </row>
    <row r="941">
      <c r="B941" s="97"/>
      <c r="C941" s="97"/>
      <c r="D941" s="97"/>
    </row>
    <row r="942">
      <c r="B942" s="97"/>
      <c r="C942" s="97"/>
      <c r="D942" s="97"/>
    </row>
    <row r="943">
      <c r="B943" s="97"/>
      <c r="C943" s="97"/>
      <c r="D943" s="97"/>
    </row>
    <row r="944">
      <c r="B944" s="97"/>
      <c r="C944" s="97"/>
      <c r="D944" s="97"/>
    </row>
    <row r="945">
      <c r="B945" s="97"/>
      <c r="C945" s="97"/>
      <c r="D945" s="97"/>
    </row>
    <row r="946">
      <c r="B946" s="97"/>
      <c r="C946" s="97"/>
      <c r="D946" s="97"/>
    </row>
    <row r="947">
      <c r="B947" s="97"/>
      <c r="C947" s="97"/>
      <c r="D947" s="97"/>
    </row>
    <row r="948">
      <c r="B948" s="97"/>
      <c r="C948" s="97"/>
      <c r="D948" s="97"/>
    </row>
    <row r="949">
      <c r="B949" s="97"/>
      <c r="C949" s="97"/>
      <c r="D949" s="97"/>
    </row>
    <row r="950">
      <c r="B950" s="97"/>
      <c r="C950" s="97"/>
      <c r="D950" s="97"/>
    </row>
    <row r="951">
      <c r="B951" s="97"/>
      <c r="C951" s="97"/>
      <c r="D951" s="97"/>
    </row>
    <row r="952">
      <c r="B952" s="97"/>
      <c r="C952" s="97"/>
      <c r="D952" s="97"/>
    </row>
    <row r="953">
      <c r="B953" s="97"/>
      <c r="C953" s="97"/>
      <c r="D953" s="97"/>
    </row>
    <row r="954">
      <c r="B954" s="97"/>
      <c r="C954" s="97"/>
      <c r="D954" s="97"/>
    </row>
    <row r="955">
      <c r="B955" s="97"/>
      <c r="C955" s="97"/>
      <c r="D955" s="97"/>
    </row>
    <row r="956">
      <c r="B956" s="97"/>
      <c r="C956" s="97"/>
      <c r="D956" s="97"/>
    </row>
    <row r="957">
      <c r="B957" s="97"/>
      <c r="C957" s="97"/>
      <c r="D957" s="97"/>
    </row>
    <row r="958">
      <c r="B958" s="97"/>
      <c r="C958" s="97"/>
      <c r="D958" s="97"/>
    </row>
    <row r="959">
      <c r="B959" s="97"/>
      <c r="C959" s="97"/>
      <c r="D959" s="97"/>
    </row>
    <row r="960">
      <c r="B960" s="97"/>
      <c r="C960" s="97"/>
      <c r="D960" s="97"/>
    </row>
    <row r="961">
      <c r="B961" s="97"/>
      <c r="C961" s="97"/>
      <c r="D961" s="97"/>
    </row>
    <row r="962">
      <c r="B962" s="97"/>
      <c r="C962" s="97"/>
      <c r="D962" s="97"/>
    </row>
    <row r="963">
      <c r="B963" s="97"/>
      <c r="C963" s="97"/>
      <c r="D963" s="97"/>
    </row>
    <row r="964">
      <c r="B964" s="97"/>
      <c r="C964" s="97"/>
      <c r="D964" s="97"/>
    </row>
    <row r="965">
      <c r="B965" s="97"/>
      <c r="C965" s="97"/>
      <c r="D965" s="97"/>
    </row>
    <row r="966">
      <c r="B966" s="97"/>
      <c r="C966" s="97"/>
      <c r="D966" s="97"/>
    </row>
    <row r="967">
      <c r="B967" s="97"/>
      <c r="C967" s="97"/>
      <c r="D967" s="97"/>
    </row>
    <row r="968">
      <c r="B968" s="97"/>
      <c r="C968" s="97"/>
      <c r="D968" s="97"/>
    </row>
    <row r="969">
      <c r="B969" s="97"/>
      <c r="C969" s="97"/>
      <c r="D969" s="97"/>
    </row>
    <row r="970">
      <c r="B970" s="97"/>
      <c r="C970" s="97"/>
      <c r="D970" s="97"/>
    </row>
    <row r="971">
      <c r="B971" s="97"/>
      <c r="C971" s="97"/>
      <c r="D971" s="97"/>
    </row>
    <row r="972">
      <c r="B972" s="97"/>
      <c r="C972" s="97"/>
      <c r="D972" s="97"/>
    </row>
    <row r="973">
      <c r="B973" s="97"/>
      <c r="C973" s="97"/>
      <c r="D973" s="97"/>
    </row>
    <row r="974">
      <c r="B974" s="97"/>
      <c r="C974" s="97"/>
      <c r="D974" s="97"/>
    </row>
    <row r="975">
      <c r="B975" s="97"/>
      <c r="C975" s="97"/>
      <c r="D975" s="97"/>
    </row>
    <row r="976">
      <c r="B976" s="97"/>
      <c r="C976" s="97"/>
      <c r="D976" s="97"/>
    </row>
    <row r="977">
      <c r="B977" s="97"/>
      <c r="C977" s="97"/>
      <c r="D977" s="97"/>
    </row>
    <row r="978">
      <c r="B978" s="97"/>
      <c r="C978" s="97"/>
      <c r="D978" s="97"/>
    </row>
    <row r="979">
      <c r="B979" s="97"/>
      <c r="C979" s="97"/>
      <c r="D979" s="97"/>
    </row>
    <row r="980">
      <c r="B980" s="97"/>
      <c r="C980" s="97"/>
      <c r="D980" s="97"/>
    </row>
    <row r="981">
      <c r="B981" s="97"/>
      <c r="C981" s="97"/>
      <c r="D981" s="97"/>
    </row>
    <row r="982">
      <c r="B982" s="97"/>
      <c r="C982" s="97"/>
      <c r="D982" s="97"/>
    </row>
    <row r="983">
      <c r="B983" s="97"/>
      <c r="C983" s="97"/>
      <c r="D983" s="97"/>
    </row>
    <row r="984">
      <c r="B984" s="97"/>
      <c r="C984" s="97"/>
      <c r="D984" s="97"/>
    </row>
    <row r="985">
      <c r="B985" s="97"/>
      <c r="C985" s="97"/>
      <c r="D985" s="97"/>
    </row>
    <row r="986">
      <c r="B986" s="97"/>
      <c r="C986" s="97"/>
      <c r="D986" s="97"/>
    </row>
    <row r="987">
      <c r="B987" s="97"/>
      <c r="C987" s="97"/>
      <c r="D987" s="97"/>
    </row>
    <row r="988">
      <c r="B988" s="97"/>
      <c r="C988" s="97"/>
      <c r="D988" s="97"/>
    </row>
    <row r="989">
      <c r="B989" s="97"/>
      <c r="C989" s="97"/>
      <c r="D989" s="97"/>
    </row>
    <row r="990">
      <c r="B990" s="97"/>
      <c r="C990" s="97"/>
      <c r="D990" s="97"/>
    </row>
    <row r="991">
      <c r="B991" s="97"/>
      <c r="C991" s="97"/>
      <c r="D991" s="97"/>
    </row>
    <row r="992">
      <c r="B992" s="97"/>
      <c r="C992" s="97"/>
      <c r="D992" s="97"/>
    </row>
    <row r="993">
      <c r="B993" s="97"/>
      <c r="C993" s="97"/>
      <c r="D993" s="97"/>
    </row>
    <row r="994">
      <c r="B994" s="97"/>
      <c r="C994" s="97"/>
      <c r="D994" s="97"/>
    </row>
    <row r="995">
      <c r="B995" s="97"/>
      <c r="C995" s="97"/>
      <c r="D995" s="97"/>
    </row>
    <row r="996">
      <c r="B996" s="97"/>
      <c r="C996" s="97"/>
      <c r="D996" s="97"/>
    </row>
    <row r="997">
      <c r="B997" s="97"/>
      <c r="C997" s="97"/>
      <c r="D997" s="97"/>
    </row>
    <row r="998">
      <c r="B998" s="97"/>
      <c r="C998" s="97"/>
      <c r="D998" s="97"/>
    </row>
    <row r="999">
      <c r="B999" s="97"/>
      <c r="C999" s="97"/>
      <c r="D999" s="97"/>
    </row>
    <row r="1000">
      <c r="B1000" s="97"/>
      <c r="C1000" s="97"/>
      <c r="D1000" s="97"/>
    </row>
    <row r="1001">
      <c r="B1001" s="97"/>
      <c r="C1001" s="97"/>
      <c r="D1001" s="97"/>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E10"/>
    <hyperlink r:id="rId18" ref="I10"/>
    <hyperlink r:id="rId19" ref="E11"/>
    <hyperlink r:id="rId20" ref="I11"/>
    <hyperlink r:id="rId21" ref="E12"/>
    <hyperlink r:id="rId22" ref="I12"/>
    <hyperlink r:id="rId23" ref="E13"/>
    <hyperlink r:id="rId24" ref="I13"/>
    <hyperlink r:id="rId25" ref="E14"/>
    <hyperlink r:id="rId26" ref="I14"/>
    <hyperlink r:id="rId27" ref="E15"/>
    <hyperlink r:id="rId28" ref="I15"/>
    <hyperlink r:id="rId29" ref="E16"/>
    <hyperlink r:id="rId30" ref="I16"/>
    <hyperlink r:id="rId31" ref="E17"/>
    <hyperlink r:id="rId32" ref="I17"/>
    <hyperlink r:id="rId33" ref="E18"/>
    <hyperlink r:id="rId34" ref="I18"/>
    <hyperlink r:id="rId35" ref="E19"/>
    <hyperlink r:id="rId36" ref="I19"/>
    <hyperlink r:id="rId37" ref="E20"/>
    <hyperlink r:id="rId38" ref="I20"/>
    <hyperlink r:id="rId39" ref="E21"/>
    <hyperlink r:id="rId40" ref="I21"/>
    <hyperlink r:id="rId41" ref="E22"/>
    <hyperlink r:id="rId42" ref="I22"/>
    <hyperlink r:id="rId43" ref="E23"/>
    <hyperlink r:id="rId44" ref="I23"/>
    <hyperlink r:id="rId45" ref="E24"/>
    <hyperlink r:id="rId46" ref="I24"/>
    <hyperlink r:id="rId47" ref="E25"/>
    <hyperlink r:id="rId48" ref="I25"/>
    <hyperlink r:id="rId49" ref="E26"/>
    <hyperlink r:id="rId50" ref="I26"/>
    <hyperlink r:id="rId51" ref="E27"/>
    <hyperlink r:id="rId52" ref="I27"/>
    <hyperlink r:id="rId53" ref="E28"/>
    <hyperlink r:id="rId54" ref="E29"/>
    <hyperlink r:id="rId55" ref="I29"/>
    <hyperlink r:id="rId56" ref="E30"/>
    <hyperlink r:id="rId57" ref="I30"/>
    <hyperlink r:id="rId58" ref="E31"/>
    <hyperlink r:id="rId59" ref="I31"/>
    <hyperlink r:id="rId60" ref="I32"/>
    <hyperlink r:id="rId61" ref="E33"/>
    <hyperlink r:id="rId62" ref="I33"/>
    <hyperlink r:id="rId63" ref="E34"/>
    <hyperlink r:id="rId64" ref="I34"/>
    <hyperlink r:id="rId65" ref="E35"/>
    <hyperlink r:id="rId66" ref="I35"/>
    <hyperlink r:id="rId67" ref="E36"/>
    <hyperlink r:id="rId68" ref="E37"/>
    <hyperlink r:id="rId69" ref="I37"/>
    <hyperlink r:id="rId70" ref="E38"/>
    <hyperlink r:id="rId71" ref="E39"/>
    <hyperlink r:id="rId72" ref="I39"/>
    <hyperlink r:id="rId73" ref="E40"/>
    <hyperlink r:id="rId74" ref="I40"/>
    <hyperlink r:id="rId75" ref="E41"/>
    <hyperlink r:id="rId76" ref="I41"/>
    <hyperlink r:id="rId77" ref="E42"/>
    <hyperlink r:id="rId78" ref="I42"/>
    <hyperlink r:id="rId79" ref="E43"/>
    <hyperlink r:id="rId80" ref="I43"/>
    <hyperlink r:id="rId81" ref="E44"/>
    <hyperlink r:id="rId82" ref="I44"/>
    <hyperlink r:id="rId83" ref="E45"/>
    <hyperlink r:id="rId84" ref="I45"/>
    <hyperlink r:id="rId85" ref="E46"/>
    <hyperlink r:id="rId86" ref="I46"/>
    <hyperlink r:id="rId87" ref="E47"/>
    <hyperlink r:id="rId88" ref="I47"/>
    <hyperlink r:id="rId89" ref="E48"/>
    <hyperlink r:id="rId90" ref="I48"/>
    <hyperlink r:id="rId91" ref="E49"/>
    <hyperlink r:id="rId92" ref="I49"/>
    <hyperlink r:id="rId93" ref="E50"/>
    <hyperlink r:id="rId94" ref="I50"/>
    <hyperlink r:id="rId95" ref="E51"/>
    <hyperlink r:id="rId96" ref="I51"/>
    <hyperlink r:id="rId97" ref="E52"/>
    <hyperlink r:id="rId98" ref="I52"/>
    <hyperlink r:id="rId99" ref="E53"/>
    <hyperlink r:id="rId100" ref="I53"/>
    <hyperlink r:id="rId101" ref="E55"/>
    <hyperlink r:id="rId102" ref="E56"/>
    <hyperlink r:id="rId103" ref="I56"/>
    <hyperlink r:id="rId104" ref="E57"/>
    <hyperlink r:id="rId105" ref="I57"/>
    <hyperlink r:id="rId106" ref="E58"/>
    <hyperlink r:id="rId107" ref="I58"/>
    <hyperlink r:id="rId108" ref="E60"/>
    <hyperlink r:id="rId109" ref="I60"/>
    <hyperlink r:id="rId110" ref="E61"/>
    <hyperlink r:id="rId111" ref="I61"/>
  </hyperlinks>
  <drawing r:id="rId11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70.38"/>
    <col customWidth="1" min="6" max="6" width="13.0"/>
    <col customWidth="1" min="7" max="7" width="28.0"/>
    <col customWidth="1" min="8" max="8" width="30.38"/>
    <col customWidth="1" min="9" max="9" width="36.38"/>
    <col customWidth="1" min="10" max="10" width="32.75"/>
  </cols>
  <sheetData>
    <row r="1">
      <c r="A1" s="1" t="str">
        <f>IFERROR(__xludf.DUMMYFUNCTION("importrange(""https://docs.google.com/spreadsheets/d/1A0h7suKZJejZ7Q8ejPhVMlx-TmUz0gRMpzGl3XukUqI/edit#gid=1955470437"",""CE-GRAPI!A1:J150"")"),"TOP")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1" t="str">
        <f>IFERROR(__xludf.DUMMYFUNCTION("""COMPUTED_VALUE"""),"Top 20")</f>
        <v>Top 20</v>
      </c>
      <c r="B2" s="1" t="str">
        <f>IFERROR(__xludf.DUMMYFUNCTION("""COMPUTED_VALUE"""),"I3D")</f>
        <v>I3D</v>
      </c>
      <c r="C2" s="1" t="str">
        <f>IFERROR(__xludf.DUMMYFUNCTION("""COMPUTED_VALUE"""),"ACM Symposium on Interactive 3D Graphics and Games")</f>
        <v>ACM Symposium on Interactive 3D Graphics and Games</v>
      </c>
      <c r="D2" s="1">
        <f>IFERROR(__xludf.DUMMYFUNCTION("""COMPUTED_VALUE"""),16.0)</f>
        <v>16</v>
      </c>
      <c r="E2" s="59" t="str">
        <f>IFERROR(__xludf.DUMMYFUNCTION("""COMPUTED_VALUE"""),"https://scholar.google.com/scholar?q=ACM+Symposium+on+Interactive+3D+Graphics+and+Games&amp;hl=pt-BR&amp;as_sdt=0%2C5&amp;as_ylo=2018&amp;as_yhi=")</f>
        <v>https://scholar.google.com/scholar?q=ACM+Symposium+on+Interactive+3D+Graphics+and+Games&amp;hl=pt-BR&amp;as_sdt=0%2C5&amp;as_ylo=2018&amp;as_yhi=</v>
      </c>
      <c r="F2" s="1"/>
      <c r="G2" s="2"/>
      <c r="H2" s="2"/>
      <c r="I2" s="79" t="str">
        <f>IFERROR(__xludf.DUMMYFUNCTION("""COMPUTED_VALUE"""),"https://dblp.org/db/conf/si3d/index.html")</f>
        <v>https://dblp.org/db/conf/si3d/index.html</v>
      </c>
      <c r="J2" s="2"/>
      <c r="K2" s="2"/>
      <c r="L2" s="2"/>
      <c r="M2" s="2"/>
      <c r="N2" s="2"/>
      <c r="O2" s="2"/>
      <c r="P2" s="2"/>
      <c r="Q2" s="2"/>
      <c r="R2" s="2"/>
      <c r="S2" s="2"/>
      <c r="T2" s="2"/>
      <c r="U2" s="2"/>
      <c r="V2" s="2"/>
      <c r="W2" s="2"/>
      <c r="X2" s="2"/>
      <c r="Y2" s="2"/>
      <c r="Z2" s="2"/>
    </row>
    <row r="3">
      <c r="A3" s="80" t="str">
        <f>IFERROR(__xludf.DUMMYFUNCTION("""COMPUTED_VALUE"""),"Top 20")</f>
        <v>Top 20</v>
      </c>
      <c r="B3" s="98" t="str">
        <f>IFERROR(__xludf.DUMMYFUNCTION("""COMPUTED_VALUE"""),"CAIP")</f>
        <v>CAIP</v>
      </c>
      <c r="C3" s="98" t="str">
        <f>IFERROR(__xludf.DUMMYFUNCTION("""COMPUTED_VALUE"""),"International Conference on Computer Analysis of Images and Patterns")</f>
        <v>International Conference on Computer Analysis of Images and Patterns</v>
      </c>
      <c r="D3" s="99">
        <f>IFERROR(__xludf.DUMMYFUNCTION("""COMPUTED_VALUE"""),16.0)</f>
        <v>16</v>
      </c>
      <c r="E3" s="59" t="str">
        <f>IFERROR(__xludf.DUMMYFUNCTION("""COMPUTED_VALUE"""),"#REF!")</f>
        <v>#REF!</v>
      </c>
      <c r="F3" s="98"/>
      <c r="G3" s="57"/>
      <c r="I3" s="60" t="str">
        <f>IFERROR(__xludf.DUMMYFUNCTION("""COMPUTED_VALUE"""),"https://dblp.org/db/conf/caip/index.html")</f>
        <v>https://dblp.org/db/conf/caip/index.html</v>
      </c>
    </row>
    <row r="4">
      <c r="A4" s="80" t="str">
        <f>IFERROR(__xludf.DUMMYFUNCTION("""COMPUTED_VALUE"""),"Top 20")</f>
        <v>Top 20</v>
      </c>
      <c r="B4" s="98" t="str">
        <f>IFERROR(__xludf.DUMMYFUNCTION("""COMPUTED_VALUE"""),"SCA")</f>
        <v>SCA</v>
      </c>
      <c r="C4" s="98" t="str">
        <f>IFERROR(__xludf.DUMMYFUNCTION("""COMPUTED_VALUE"""),"ACM SIGGRAPH/Eurographics Symposium on Computer Animation")</f>
        <v>ACM SIGGRAPH/Eurographics Symposium on Computer Animation</v>
      </c>
      <c r="D4" s="99">
        <f>IFERROR(__xludf.DUMMYFUNCTION("""COMPUTED_VALUE"""),19.0)</f>
        <v>19</v>
      </c>
      <c r="E4" s="59" t="str">
        <f>IFERROR(__xludf.DUMMYFUNCTION("""COMPUTED_VALUE"""),"https://scholar.google.com/scholar?hl=pt-BR&amp;as_sdt=0,5&amp;as_ylo=2019&amp;as_yhi=2024&amp;q=symposium+on+computer+animation")</f>
        <v>https://scholar.google.com/scholar?hl=pt-BR&amp;as_sdt=0,5&amp;as_ylo=2019&amp;as_yhi=2024&amp;q=symposium+on+computer+animation</v>
      </c>
      <c r="F4" s="98"/>
      <c r="G4" s="57"/>
      <c r="I4" s="60" t="str">
        <f>IFERROR(__xludf.DUMMYFUNCTION("""COMPUTED_VALUE"""),"https://dblp.org/db/conf/sca/index.html")</f>
        <v>https://dblp.org/db/conf/sca/index.html</v>
      </c>
    </row>
    <row r="5">
      <c r="A5" s="80" t="str">
        <f>IFERROR(__xludf.DUMMYFUNCTION("""COMPUTED_VALUE"""),"Top 20")</f>
        <v>Top 20</v>
      </c>
      <c r="B5" s="98" t="str">
        <f>IFERROR(__xludf.DUMMYFUNCTION("""COMPUTED_VALUE"""),"CGI")</f>
        <v>CGI</v>
      </c>
      <c r="C5" s="98" t="str">
        <f>IFERROR(__xludf.DUMMYFUNCTION("""COMPUTED_VALUE"""),"Computer Graphics International Conference")</f>
        <v>Computer Graphics International Conference</v>
      </c>
      <c r="D5" s="99">
        <f>IFERROR(__xludf.DUMMYFUNCTION("""COMPUTED_VALUE"""),11.0)</f>
        <v>11</v>
      </c>
      <c r="E5" s="59" t="str">
        <f>IFERROR(__xludf.DUMMYFUNCTION("""COMPUTED_VALUE"""),"https://scholar.google.com/citations?hl=en&amp;view_op=list_hcore&amp;venue=Eta5Rw7ikZgJ.2024")</f>
        <v>https://scholar.google.com/citations?hl=en&amp;view_op=list_hcore&amp;venue=Eta5Rw7ikZgJ.2024</v>
      </c>
      <c r="F5" s="98"/>
      <c r="G5" s="57"/>
      <c r="I5" s="60" t="str">
        <f>IFERROR(__xludf.DUMMYFUNCTION("""COMPUTED_VALUE"""),"https://dblp.org/db/conf/cgi/index.html")</f>
        <v>https://dblp.org/db/conf/cgi/index.html</v>
      </c>
    </row>
    <row r="6">
      <c r="A6" s="80" t="str">
        <f>IFERROR(__xludf.DUMMYFUNCTION("""COMPUTED_VALUE"""),"Top 20")</f>
        <v>Top 20</v>
      </c>
      <c r="B6" s="100" t="str">
        <f>IFERROR(__xludf.DUMMYFUNCTION("""COMPUTED_VALUE"""),"PG")</f>
        <v>PG</v>
      </c>
      <c r="C6" s="100" t="str">
        <f>IFERROR(__xludf.DUMMYFUNCTION("""COMPUTED_VALUE"""),"Pacific Conference on Computer Graphics and Applications")</f>
        <v>Pacific Conference on Computer Graphics and Applications</v>
      </c>
      <c r="D6" s="101"/>
      <c r="E6" s="59"/>
      <c r="F6" s="98"/>
      <c r="G6" s="57"/>
      <c r="I6" s="60" t="str">
        <f>IFERROR(__xludf.DUMMYFUNCTION("""COMPUTED_VALUE"""),"https://dblp.org/db/conf/pg/index.html")</f>
        <v>https://dblp.org/db/conf/pg/index.html</v>
      </c>
    </row>
    <row r="7">
      <c r="A7" s="80" t="str">
        <f>IFERROR(__xludf.DUMMYFUNCTION("""COMPUTED_VALUE"""),"Top 20")</f>
        <v>Top 20</v>
      </c>
      <c r="B7" s="100" t="str">
        <f>IFERROR(__xludf.DUMMYFUNCTION("""COMPUTED_VALUE"""),"ICIAP")</f>
        <v>ICIAP</v>
      </c>
      <c r="C7" s="100" t="str">
        <f>IFERROR(__xludf.DUMMYFUNCTION("""COMPUTED_VALUE"""),"International Conference on Image Analysis and Processing")</f>
        <v>International Conference on Image Analysis and Processing</v>
      </c>
      <c r="D7" s="101">
        <f>IFERROR(__xludf.DUMMYFUNCTION("""COMPUTED_VALUE"""),19.0)</f>
        <v>19</v>
      </c>
      <c r="E7" s="59" t="str">
        <f>IFERROR(__xludf.DUMMYFUNCTION("""COMPUTED_VALUE"""),"https://scholar.google.com/citations?hl=en&amp;view_op=list_hcore&amp;venue=KC9Tb2aNScwJ.2024")</f>
        <v>https://scholar.google.com/citations?hl=en&amp;view_op=list_hcore&amp;venue=KC9Tb2aNScwJ.2024</v>
      </c>
      <c r="F7" s="98"/>
      <c r="G7" s="57"/>
      <c r="I7" s="60" t="str">
        <f>IFERROR(__xludf.DUMMYFUNCTION("""COMPUTED_VALUE"""),"https://dblp.org/db/conf/iciap/index.html")</f>
        <v>https://dblp.org/db/conf/iciap/index.html</v>
      </c>
    </row>
    <row r="8">
      <c r="A8" s="80" t="str">
        <f>IFERROR(__xludf.DUMMYFUNCTION("""COMPUTED_VALUE"""),"Top 20")</f>
        <v>Top 20</v>
      </c>
      <c r="B8" s="98" t="str">
        <f>IFERROR(__xludf.DUMMYFUNCTION("""COMPUTED_VALUE"""),"IWSSIP")</f>
        <v>IWSSIP</v>
      </c>
      <c r="C8" s="98" t="str">
        <f>IFERROR(__xludf.DUMMYFUNCTION("""COMPUTED_VALUE"""),"International Conference on Systems, Signals and Image Processing")</f>
        <v>International Conference on Systems, Signals and Image Processing</v>
      </c>
      <c r="D8" s="99">
        <f>IFERROR(__xludf.DUMMYFUNCTION("""COMPUTED_VALUE"""),17.0)</f>
        <v>17</v>
      </c>
      <c r="E8" s="59" t="str">
        <f>IFERROR(__xludf.DUMMYFUNCTION("""COMPUTED_VALUE"""),"https://scholar.google.com/citations?hl=en&amp;view_op=list_hcore&amp;venue=GsvS_jxfxCoJ.2024")</f>
        <v>https://scholar.google.com/citations?hl=en&amp;view_op=list_hcore&amp;venue=GsvS_jxfxCoJ.2024</v>
      </c>
      <c r="F8" s="98"/>
      <c r="G8" s="57"/>
      <c r="I8" s="60" t="str">
        <f>IFERROR(__xludf.DUMMYFUNCTION("""COMPUTED_VALUE"""),"https://dblp.org/db/conf/iwssip/index.html")</f>
        <v>https://dblp.org/db/conf/iwssip/index.html</v>
      </c>
    </row>
    <row r="9">
      <c r="A9" s="80" t="str">
        <f>IFERROR(__xludf.DUMMYFUNCTION("""COMPUTED_VALUE"""),"Top 20")</f>
        <v>Top 20</v>
      </c>
      <c r="B9" s="98" t="str">
        <f>IFERROR(__xludf.DUMMYFUNCTION("""COMPUTED_VALUE"""),"CIARP")</f>
        <v>CIARP</v>
      </c>
      <c r="C9" s="100" t="str">
        <f>IFERROR(__xludf.DUMMYFUNCTION("""COMPUTED_VALUE"""),"Iberoamerican Congress on Pattern Recognition")</f>
        <v>Iberoamerican Congress on Pattern Recognition</v>
      </c>
      <c r="D9" s="101">
        <f>IFERROR(__xludf.DUMMYFUNCTION("""COMPUTED_VALUE"""),12.0)</f>
        <v>12</v>
      </c>
      <c r="E9" s="59" t="str">
        <f>IFERROR(__xludf.DUMMYFUNCTION("""COMPUTED_VALUE"""),"https://scholar.google.com/citations?hl=en&amp;view_op=list_hcore&amp;venue=-G7ZDWMFougJ.2024")</f>
        <v>https://scholar.google.com/citations?hl=en&amp;view_op=list_hcore&amp;venue=-G7ZDWMFougJ.2024</v>
      </c>
      <c r="F9" s="98"/>
      <c r="I9" s="60" t="str">
        <f>IFERROR(__xludf.DUMMYFUNCTION("""COMPUTED_VALUE"""),"https://dblp.org/db/conf/ciarp/index.html")</f>
        <v>https://dblp.org/db/conf/ciarp/index.html</v>
      </c>
    </row>
    <row r="10">
      <c r="A10" s="80" t="str">
        <f>IFERROR(__xludf.DUMMYFUNCTION("""COMPUTED_VALUE"""),"Top 20")</f>
        <v>Top 20</v>
      </c>
      <c r="B10" s="98" t="str">
        <f>IFERROR(__xludf.DUMMYFUNCTION("""COMPUTED_VALUE"""),"GRAPP")</f>
        <v>GRAPP</v>
      </c>
      <c r="C10" s="98" t="str">
        <f>IFERROR(__xludf.DUMMYFUNCTION("""COMPUTED_VALUE"""),"International Conference on Computer Graphics Theory and Applications")</f>
        <v>International Conference on Computer Graphics Theory and Applications</v>
      </c>
      <c r="D10" s="99">
        <f>IFERROR(__xludf.DUMMYFUNCTION("""COMPUTED_VALUE"""),10.0)</f>
        <v>10</v>
      </c>
      <c r="E10" s="59" t="str">
        <f>IFERROR(__xludf.DUMMYFUNCTION("""COMPUTED_VALUE"""),"https://scholar.google.com.br/citations?hl=pt-BR&amp;view_op=list_hcore&amp;venue=ulaSNA5ZgjEJ.2024")</f>
        <v>https://scholar.google.com.br/citations?hl=pt-BR&amp;view_op=list_hcore&amp;venue=ulaSNA5ZgjEJ.2024</v>
      </c>
      <c r="F10" s="98"/>
      <c r="G10" s="57"/>
      <c r="I10" s="60" t="str">
        <f>IFERROR(__xludf.DUMMYFUNCTION("""COMPUTED_VALUE"""),"https://dblp.org/db/conf/grapp/index.html")</f>
        <v>https://dblp.org/db/conf/grapp/index.html</v>
      </c>
    </row>
    <row r="11">
      <c r="A11" s="80" t="str">
        <f>IFERROR(__xludf.DUMMYFUNCTION("""COMPUTED_VALUE"""),"Top 20")</f>
        <v>Top 20</v>
      </c>
      <c r="B11" s="100" t="str">
        <f>IFERROR(__xludf.DUMMYFUNCTION("""COMPUTED_VALUE"""),"WVC")</f>
        <v>WVC</v>
      </c>
      <c r="C11" s="100" t="str">
        <f>IFERROR(__xludf.DUMMYFUNCTION("""COMPUTED_VALUE"""),"Workshop de Visão Computacional")</f>
        <v>Workshop de Visão Computacional</v>
      </c>
      <c r="D11" s="101">
        <f>IFERROR(__xludf.DUMMYFUNCTION("""COMPUTED_VALUE"""),6.0)</f>
        <v>6</v>
      </c>
      <c r="E11" s="59" t="str">
        <f>IFERROR(__xludf.DUMMYFUNCTION("""COMPUTED_VALUE"""),"https://scholar.google.com.br/scholar?hl=pt-BR&amp;as_sdt=0%2C5&amp;as_ylo=2019&amp;as_yhi=2024&amp;as_vis=1&amp;q=source%3AWorkshop+source%3Ade+source%3AVis%C3%A3o+source%3AComputacional&amp;btnG=2024")</f>
        <v>https://scholar.google.com.br/scholar?hl=pt-BR&amp;as_sdt=0%2C5&amp;as_ylo=2019&amp;as_yhi=2024&amp;as_vis=1&amp;q=source%3AWorkshop+source%3Ade+source%3AVis%C3%A3o+source%3AComputacional&amp;btnG=2024</v>
      </c>
      <c r="F11" s="98"/>
      <c r="G11" s="57"/>
      <c r="I11" s="60" t="str">
        <f>IFERROR(__xludf.DUMMYFUNCTION("""COMPUTED_VALUE"""),"https://sol.sbc.org.br/index.php/wvc")</f>
        <v>https://sol.sbc.org.br/index.php/wvc</v>
      </c>
    </row>
    <row r="12">
      <c r="A12" s="80" t="str">
        <f>IFERROR(__xludf.DUMMYFUNCTION("""COMPUTED_VALUE"""),"Top 10")</f>
        <v>Top 10</v>
      </c>
      <c r="B12" s="100" t="str">
        <f>IFERROR(__xludf.DUMMYFUNCTION("""COMPUTED_VALUE"""),"DGMM")</f>
        <v>DGMM</v>
      </c>
      <c r="C12" s="100" t="str">
        <f>IFERROR(__xludf.DUMMYFUNCTION("""COMPUTED_VALUE"""),"Discrete Geometry and Mathematical Morphology (DGMM = DGCI+ISMM desde 2021)")</f>
        <v>Discrete Geometry and Mathematical Morphology (DGMM = DGCI+ISMM desde 2021)</v>
      </c>
      <c r="D12" s="101">
        <f>IFERROR(__xludf.DUMMYFUNCTION("""COMPUTED_VALUE"""),21.0)</f>
        <v>21</v>
      </c>
      <c r="E12" s="59" t="str">
        <f>IFERROR(__xludf.DUMMYFUNCTION("""COMPUTED_VALUE"""),"https://scholar.google.com/scholar?hl=pt-BR&amp;as_sdt=0%2C5&amp;as_ylo=2019&amp;q=source%3A+Conference+source%3A+Discrete+source%3A+Geometry+source+Mathematical+source%3A+Morphology&amp;btnG=")</f>
        <v>https://scholar.google.com/scholar?hl=pt-BR&amp;as_sdt=0%2C5&amp;as_ylo=2019&amp;q=source%3A+Conference+source%3A+Discrete+source%3A+Geometry+source+Mathematical+source%3A+Morphology&amp;btnG=</v>
      </c>
      <c r="F12" s="98"/>
      <c r="G12" s="57"/>
      <c r="I12" s="60" t="str">
        <f>IFERROR(__xludf.DUMMYFUNCTION("""COMPUTED_VALUE"""),"https://dblp.org/db/conf/dgmm/index.html")</f>
        <v>https://dblp.org/db/conf/dgmm/index.html</v>
      </c>
    </row>
    <row r="13">
      <c r="A13" s="80" t="str">
        <f>IFERROR(__xludf.DUMMYFUNCTION("""COMPUTED_VALUE"""),"Top 10")</f>
        <v>Top 10</v>
      </c>
      <c r="B13" s="100" t="str">
        <f>IFERROR(__xludf.DUMMYFUNCTION("""COMPUTED_VALUE"""),"SIBGRAPI")</f>
        <v>SIBGRAPI</v>
      </c>
      <c r="C13" s="100" t="str">
        <f>IFERROR(__xludf.DUMMYFUNCTION("""COMPUTED_VALUE"""),"SIBGRAPI Conference on Graphics, Patterns and Images")</f>
        <v>SIBGRAPI Conference on Graphics, Patterns and Images</v>
      </c>
      <c r="D13" s="101">
        <f>IFERROR(__xludf.DUMMYFUNCTION("""COMPUTED_VALUE"""),23.0)</f>
        <v>23</v>
      </c>
      <c r="E13" s="59" t="str">
        <f>IFERROR(__xludf.DUMMYFUNCTION("""COMPUTED_VALUE"""),"https://scholar.google.com/citations?hl=en&amp;view_op=list_hcore&amp;venue=sPLlun2OWTwJ.2024")</f>
        <v>https://scholar.google.com/citations?hl=en&amp;view_op=list_hcore&amp;venue=sPLlun2OWTwJ.2024</v>
      </c>
      <c r="F13" s="98"/>
      <c r="G13" s="102"/>
      <c r="I13" s="60" t="str">
        <f>IFERROR(__xludf.DUMMYFUNCTION("""COMPUTED_VALUE"""),"https://dblp.org/db/conf/sibgrapi/index.html")</f>
        <v>https://dblp.org/db/conf/sibgrapi/index.html</v>
      </c>
    </row>
    <row r="14">
      <c r="A14" s="80" t="str">
        <f>IFERROR(__xludf.DUMMYFUNCTION("""COMPUTED_VALUE"""),"Top 10")</f>
        <v>Top 10</v>
      </c>
      <c r="B14" s="98" t="str">
        <f>IFERROR(__xludf.DUMMYFUNCTION("""COMPUTED_VALUE"""),"IEEE VIS")</f>
        <v>IEEE VIS</v>
      </c>
      <c r="C14" s="98" t="str">
        <f>IFERROR(__xludf.DUMMYFUNCTION("""COMPUTED_VALUE"""),"IEEE Visualization Conference")</f>
        <v>IEEE Visualization Conference</v>
      </c>
      <c r="D14" s="99">
        <f>IFERROR(__xludf.DUMMYFUNCTION("""COMPUTED_VALUE"""),22.0)</f>
        <v>22</v>
      </c>
      <c r="E14" s="59" t="str">
        <f>IFERROR(__xludf.DUMMYFUNCTION("""COMPUTED_VALUE"""),"https://scholar.google.com/citations?hl=en&amp;view_op=list_hcore&amp;venue=ISkzejISPjIJ.2024")</f>
        <v>https://scholar.google.com/citations?hl=en&amp;view_op=list_hcore&amp;venue=ISkzejISPjIJ.2024</v>
      </c>
      <c r="F14" s="98"/>
      <c r="G14" s="57"/>
      <c r="I14" s="60" t="str">
        <f>IFERROR(__xludf.DUMMYFUNCTION("""COMPUTED_VALUE"""),"https://dblp.org/db/conf/visualization/index.html")</f>
        <v>https://dblp.org/db/conf/visualization/index.html</v>
      </c>
    </row>
    <row r="15">
      <c r="A15" s="80" t="str">
        <f>IFERROR(__xludf.DUMMYFUNCTION("""COMPUTED_VALUE"""),"Top 10")</f>
        <v>Top 10</v>
      </c>
      <c r="B15" s="98" t="str">
        <f>IFERROR(__xludf.DUMMYFUNCTION("""COMPUTED_VALUE"""),"SIGGRAPH")</f>
        <v>SIGGRAPH</v>
      </c>
      <c r="C15" s="98" t="str">
        <f>IFERROR(__xludf.DUMMYFUNCTION("""COMPUTED_VALUE"""),"Proceedings of the ACM on Computer Graphics and Interactive Techniques")</f>
        <v>Proceedings of the ACM on Computer Graphics and Interactive Techniques</v>
      </c>
      <c r="D15" s="99">
        <f>IFERROR(__xludf.DUMMYFUNCTION("""COMPUTED_VALUE"""),19.0)</f>
        <v>19</v>
      </c>
      <c r="E15" s="59" t="str">
        <f>IFERROR(__xludf.DUMMYFUNCTION("""COMPUTED_VALUE"""),"https://scholar.google.com.br/citations?hl=pt-BR&amp;view_op=list_hcore&amp;venue=4ZH62wP1FOcJ.2024")</f>
        <v>https://scholar.google.com.br/citations?hl=pt-BR&amp;view_op=list_hcore&amp;venue=4ZH62wP1FOcJ.2024</v>
      </c>
      <c r="F15" s="98"/>
      <c r="G15" s="57"/>
      <c r="I15" s="60" t="str">
        <f>IFERROR(__xludf.DUMMYFUNCTION("""COMPUTED_VALUE"""),"https://dblp.org/db/journals/pacmcgit/index.html")</f>
        <v>https://dblp.org/db/journals/pacmcgit/index.html</v>
      </c>
    </row>
    <row r="16">
      <c r="A16" s="80" t="str">
        <f>IFERROR(__xludf.DUMMYFUNCTION("""COMPUTED_VALUE"""),"Top 10")</f>
        <v>Top 10</v>
      </c>
      <c r="B16" s="98" t="str">
        <f>IFERROR(__xludf.DUMMYFUNCTION("""COMPUTED_VALUE"""),"SIGGRAPH Asia")</f>
        <v>SIGGRAPH Asia</v>
      </c>
      <c r="C16" s="98" t="str">
        <f>IFERROR(__xludf.DUMMYFUNCTION("""COMPUTED_VALUE"""),"Proceedings of the ACM on Computer Graphics and Interactive Techniques - Asia")</f>
        <v>Proceedings of the ACM on Computer Graphics and Interactive Techniques - Asia</v>
      </c>
      <c r="D16" s="99">
        <f>IFERROR(__xludf.DUMMYFUNCTION("""COMPUTED_VALUE"""),25.0)</f>
        <v>25</v>
      </c>
      <c r="E16" s="59" t="str">
        <f>IFERROR(__xludf.DUMMYFUNCTION("""COMPUTED_VALUE"""),"https://scholar.google.com/citations?hl=en&amp;vq=eng_computergraphics&amp;view_op=list_hcore&amp;venue=dXZdebXoOt0J.2024")</f>
        <v>https://scholar.google.com/citations?hl=en&amp;vq=eng_computergraphics&amp;view_op=list_hcore&amp;venue=dXZdebXoOt0J.2024</v>
      </c>
      <c r="F16" s="98"/>
      <c r="G16" s="57"/>
    </row>
    <row r="17">
      <c r="A17" s="80" t="str">
        <f>IFERROR(__xludf.DUMMYFUNCTION("""COMPUTED_VALUE"""),"Top 10")</f>
        <v>Top 10</v>
      </c>
      <c r="B17" s="98" t="str">
        <f>IFERROR(__xludf.DUMMYFUNCTION("""COMPUTED_VALUE"""),"ICB")</f>
        <v>ICB</v>
      </c>
      <c r="C17" s="98" t="str">
        <f>IFERROR(__xludf.DUMMYFUNCTION("""COMPUTED_VALUE"""),"IAPR International Conference on Biometrics")</f>
        <v>IAPR International Conference on Biometrics</v>
      </c>
      <c r="D17" s="99">
        <f>IFERROR(__xludf.DUMMYFUNCTION("""COMPUTED_VALUE"""),17.0)</f>
        <v>17</v>
      </c>
      <c r="E17" s="59" t="str">
        <f>IFERROR(__xludf.DUMMYFUNCTION("""COMPUTED_VALUE"""),"https://scholar.google.com/scholar?q=IAPR+International+Conference+on+Biometrics&amp;hl=pt-BR&amp;as_sdt=0%2C5&amp;as_ylo=2019&amp;as_yhi=")</f>
        <v>https://scholar.google.com/scholar?q=IAPR+International+Conference+on+Biometrics&amp;hl=pt-BR&amp;as_sdt=0%2C5&amp;as_ylo=2019&amp;as_yhi=</v>
      </c>
      <c r="F17" s="98"/>
      <c r="G17" s="57"/>
      <c r="I17" s="60" t="str">
        <f>IFERROR(__xludf.DUMMYFUNCTION("""COMPUTED_VALUE"""),"https://dblp.org/db/conf/icb/index.html")</f>
        <v>https://dblp.org/db/conf/icb/index.html</v>
      </c>
    </row>
    <row r="18">
      <c r="A18" s="80" t="str">
        <f>IFERROR(__xludf.DUMMYFUNCTION("""COMPUTED_VALUE"""),"Top 10")</f>
        <v>Top 10</v>
      </c>
      <c r="B18" s="98" t="str">
        <f>IFERROR(__xludf.DUMMYFUNCTION("""COMPUTED_VALUE"""),"EuroVis")</f>
        <v>EuroVis</v>
      </c>
      <c r="C18" s="98" t="str">
        <f>IFERROR(__xludf.DUMMYFUNCTION("""COMPUTED_VALUE"""),"EG/VGTC Conference on Visualization")</f>
        <v>EG/VGTC Conference on Visualization</v>
      </c>
      <c r="D18" s="99">
        <f>IFERROR(__xludf.DUMMYFUNCTION("""COMPUTED_VALUE"""),17.0)</f>
        <v>17</v>
      </c>
      <c r="E18" s="59" t="str">
        <f>IFERROR(__xludf.DUMMYFUNCTION("""COMPUTED_VALUE"""),"https://scholar.google.com/scholar?hl=pt-BR&amp;as_sdt=0%2C5&amp;as_ylo=2019&amp;q=source%3A+Eurographics+source%3A+Conference+source%3A+on+source%3A+Visualization&amp;btnG=")</f>
        <v>https://scholar.google.com/scholar?hl=pt-BR&amp;as_sdt=0%2C5&amp;as_ylo=2019&amp;q=source%3A+Eurographics+source%3A+Conference+source%3A+on+source%3A+Visualization&amp;btnG=</v>
      </c>
      <c r="F18" s="98"/>
      <c r="G18" s="57"/>
      <c r="I18" s="60" t="str">
        <f>IFERROR(__xludf.DUMMYFUNCTION("""COMPUTED_VALUE"""),"https://dblp.org/db/conf/vissym/index.html")</f>
        <v>https://dblp.org/db/conf/vissym/index.html</v>
      </c>
    </row>
    <row r="19">
      <c r="A19" s="80" t="str">
        <f>IFERROR(__xludf.DUMMYFUNCTION("""COMPUTED_VALUE"""),"Top 10")</f>
        <v>Top 10</v>
      </c>
      <c r="B19" s="98" t="str">
        <f>IFERROR(__xludf.DUMMYFUNCTION("""COMPUTED_VALUE"""),"CVPRW")</f>
        <v>CVPRW</v>
      </c>
      <c r="C19" s="98" t="str">
        <f>IFERROR(__xludf.DUMMYFUNCTION("""COMPUTED_VALUE"""),"IEEE Computer Society Conference on Computer Vision and Pattern Recognition Workshops")</f>
        <v>IEEE Computer Society Conference on Computer Vision and Pattern Recognition Workshops</v>
      </c>
      <c r="D19" s="99">
        <f>IFERROR(__xludf.DUMMYFUNCTION("""COMPUTED_VALUE"""),115.0)</f>
        <v>115</v>
      </c>
      <c r="E19" s="59" t="str">
        <f>IFERROR(__xludf.DUMMYFUNCTION("""COMPUTED_VALUE"""),"https://scholar.google.com/citations?hl=en&amp;view_op=list_hcore&amp;venue=ihIDe6biV1gJ.2024")</f>
        <v>https://scholar.google.com/citations?hl=en&amp;view_op=list_hcore&amp;venue=ihIDe6biV1gJ.2024</v>
      </c>
      <c r="F19" s="98"/>
      <c r="G19" s="57"/>
      <c r="I19" s="60" t="str">
        <f>IFERROR(__xludf.DUMMYFUNCTION("""COMPUTED_VALUE"""),"https://dblp.org/db/conf/cvpr/cvprw2024.html")</f>
        <v>https://dblp.org/db/conf/cvpr/cvprw2024.html</v>
      </c>
    </row>
    <row r="20">
      <c r="A20" s="80" t="str">
        <f>IFERROR(__xludf.DUMMYFUNCTION("""COMPUTED_VALUE"""),"Top 10")</f>
        <v>Top 10</v>
      </c>
      <c r="B20" s="98" t="str">
        <f>IFERROR(__xludf.DUMMYFUNCTION("""COMPUTED_VALUE"""),"ICCVW")</f>
        <v>ICCVW</v>
      </c>
      <c r="C20" s="98" t="str">
        <f>IFERROR(__xludf.DUMMYFUNCTION("""COMPUTED_VALUE"""),"IEEE International Conference on Computer Vision Workshops (ICCVW)")</f>
        <v>IEEE International Conference on Computer Vision Workshops (ICCVW)</v>
      </c>
      <c r="D20" s="99">
        <f>IFERROR(__xludf.DUMMYFUNCTION("""COMPUTED_VALUE"""),80.0)</f>
        <v>80</v>
      </c>
      <c r="E20" s="59" t="str">
        <f>IFERROR(__xludf.DUMMYFUNCTION("""COMPUTED_VALUE"""),"https://scholar.google.com/citations?hl=en&amp;view_op=list_hcore&amp;venue=1h7Rot6-J5EJ.2024")</f>
        <v>https://scholar.google.com/citations?hl=en&amp;view_op=list_hcore&amp;venue=1h7Rot6-J5EJ.2024</v>
      </c>
      <c r="F20" s="98"/>
      <c r="G20" s="57"/>
      <c r="I20" s="60" t="str">
        <f>IFERROR(__xludf.DUMMYFUNCTION("""COMPUTED_VALUE"""),"https://dblp.org/db/conf/iccvw/iccvw2021.html")</f>
        <v>https://dblp.org/db/conf/iccvw/iccvw2021.html</v>
      </c>
    </row>
    <row r="21">
      <c r="A21" s="80" t="str">
        <f>IFERROR(__xludf.DUMMYFUNCTION("""COMPUTED_VALUE"""),"Top 10")</f>
        <v>Top 10</v>
      </c>
      <c r="B21" s="98" t="str">
        <f>IFERROR(__xludf.DUMMYFUNCTION("""COMPUTED_VALUE"""),"PacificVis")</f>
        <v>PacificVis</v>
      </c>
      <c r="C21" s="98" t="str">
        <f>IFERROR(__xludf.DUMMYFUNCTION("""COMPUTED_VALUE"""),"IEEE Pacific Visualization Symposium")</f>
        <v>IEEE Pacific Visualization Symposium</v>
      </c>
      <c r="D21" s="99">
        <f>IFERROR(__xludf.DUMMYFUNCTION("""COMPUTED_VALUE"""),19.0)</f>
        <v>19</v>
      </c>
      <c r="E21" s="59" t="str">
        <f>IFERROR(__xludf.DUMMYFUNCTION("""COMPUTED_VALUE"""),"https://scholar.google.com/citations?hl=en&amp;view_op=list_hcore&amp;venue=eyKsRVMpGxgJ.2024")</f>
        <v>https://scholar.google.com/citations?hl=en&amp;view_op=list_hcore&amp;venue=eyKsRVMpGxgJ.2024</v>
      </c>
      <c r="F21" s="98"/>
      <c r="G21" s="57"/>
      <c r="I21" s="60" t="str">
        <f>IFERROR(__xludf.DUMMYFUNCTION("""COMPUTED_VALUE"""),"https://dblp.org/db/conf/pacificvis/index.html")</f>
        <v>https://dblp.org/db/conf/pacificvis/index.html</v>
      </c>
    </row>
    <row r="22">
      <c r="A22" s="80" t="str">
        <f>IFERROR(__xludf.DUMMYFUNCTION("""COMPUTED_VALUE"""),"Eventos da Área")</f>
        <v>Eventos da Área</v>
      </c>
      <c r="B22" s="100" t="str">
        <f>IFERROR(__xludf.DUMMYFUNCTION("""COMPUTED_VALUE"""),"CVPR")</f>
        <v>CVPR</v>
      </c>
      <c r="C22" s="100" t="str">
        <f>IFERROR(__xludf.DUMMYFUNCTION("""COMPUTED_VALUE"""),"IEEE Conference on Computer Vision and Pattern Recognition")</f>
        <v>IEEE Conference on Computer Vision and Pattern Recognition</v>
      </c>
      <c r="D22" s="101">
        <f>IFERROR(__xludf.DUMMYFUNCTION("""COMPUTED_VALUE"""),440.0)</f>
        <v>440</v>
      </c>
      <c r="E22" s="59" t="str">
        <f>IFERROR(__xludf.DUMMYFUNCTION("""COMPUTED_VALUE"""),"https://scholar.google.com/citations?hl=en&amp;vq=eng&amp;view_op=list_hcore&amp;venue=FXe-a9w0eycJ.2024")</f>
        <v>https://scholar.google.com/citations?hl=en&amp;vq=eng&amp;view_op=list_hcore&amp;venue=FXe-a9w0eycJ.2024</v>
      </c>
      <c r="F22" s="100"/>
      <c r="G22" s="57"/>
      <c r="I22" s="60" t="str">
        <f>IFERROR(__xludf.DUMMYFUNCTION("""COMPUTED_VALUE"""),"https://dblp.org/db/conf/cvpr/index.html")</f>
        <v>https://dblp.org/db/conf/cvpr/index.html</v>
      </c>
    </row>
    <row r="23">
      <c r="A23" s="87" t="str">
        <f>IFERROR(__xludf.DUMMYFUNCTION("""COMPUTED_VALUE"""),"Eventos da Área")</f>
        <v>Eventos da Área</v>
      </c>
      <c r="B23" s="98" t="str">
        <f>IFERROR(__xludf.DUMMYFUNCTION("""COMPUTED_VALUE"""),"NeurIPS")</f>
        <v>NeurIPS</v>
      </c>
      <c r="C23" s="98" t="str">
        <f>IFERROR(__xludf.DUMMYFUNCTION("""COMPUTED_VALUE"""),"Neural Information Processing Systems")</f>
        <v>Neural Information Processing Systems</v>
      </c>
      <c r="D23" s="99">
        <f>IFERROR(__xludf.DUMMYFUNCTION("""COMPUTED_VALUE"""),337.0)</f>
        <v>337</v>
      </c>
      <c r="E23" s="59" t="str">
        <f>IFERROR(__xludf.DUMMYFUNCTION("""COMPUTED_VALUE"""),"https://scholar.google.com/citations?hl=en&amp;view_op=list_hcore&amp;venue=6SgK_Z8h2_wJ.2024")</f>
        <v>https://scholar.google.com/citations?hl=en&amp;view_op=list_hcore&amp;venue=6SgK_Z8h2_wJ.2024</v>
      </c>
      <c r="F23" s="98"/>
      <c r="G23" s="57"/>
      <c r="I23" s="60" t="str">
        <f>IFERROR(__xludf.DUMMYFUNCTION("""COMPUTED_VALUE"""),"https://dblp.org/db/conf/nips/index.html")</f>
        <v>https://dblp.org/db/conf/nips/index.html</v>
      </c>
    </row>
    <row r="24">
      <c r="A24" s="87" t="str">
        <f>IFERROR(__xludf.DUMMYFUNCTION("""COMPUTED_VALUE"""),"Eventos da Área")</f>
        <v>Eventos da Área</v>
      </c>
      <c r="B24" s="98" t="str">
        <f>IFERROR(__xludf.DUMMYFUNCTION("""COMPUTED_VALUE"""),"ICLR")</f>
        <v>ICLR</v>
      </c>
      <c r="C24" s="98" t="str">
        <f>IFERROR(__xludf.DUMMYFUNCTION("""COMPUTED_VALUE"""),"International Conference on Learning Representations")</f>
        <v>International Conference on Learning Representations</v>
      </c>
      <c r="D24" s="99">
        <f>IFERROR(__xludf.DUMMYFUNCTION("""COMPUTED_VALUE"""),304.0)</f>
        <v>304</v>
      </c>
      <c r="E24" s="59" t="str">
        <f>IFERROR(__xludf.DUMMYFUNCTION("""COMPUTED_VALUE"""),"https://scholar.google.com/citations?hl=en&amp;vq=eng&amp;view_op=list_hcore&amp;venue=0032SoU2xY4J.2024")</f>
        <v>https://scholar.google.com/citations?hl=en&amp;vq=eng&amp;view_op=list_hcore&amp;venue=0032SoU2xY4J.2024</v>
      </c>
      <c r="F24" s="98"/>
      <c r="G24" s="57"/>
      <c r="I24" s="60" t="str">
        <f>IFERROR(__xludf.DUMMYFUNCTION("""COMPUTED_VALUE"""),"https://dblp.org/db/conf/iclr/index.html")</f>
        <v>https://dblp.org/db/conf/iclr/index.html</v>
      </c>
    </row>
    <row r="25">
      <c r="A25" s="87" t="str">
        <f>IFERROR(__xludf.DUMMYFUNCTION("""COMPUTED_VALUE"""),"Eventos da Área")</f>
        <v>Eventos da Área</v>
      </c>
      <c r="B25" s="98" t="str">
        <f>IFERROR(__xludf.DUMMYFUNCTION("""COMPUTED_VALUE"""),"ICCV")</f>
        <v>ICCV</v>
      </c>
      <c r="C25" s="98" t="str">
        <f>IFERROR(__xludf.DUMMYFUNCTION("""COMPUTED_VALUE"""),"IEEE International Conference on Computer Vision")</f>
        <v>IEEE International Conference on Computer Vision</v>
      </c>
      <c r="D25" s="99">
        <f>IFERROR(__xludf.DUMMYFUNCTION("""COMPUTED_VALUE"""),291.0)</f>
        <v>291</v>
      </c>
      <c r="E25" s="59" t="str">
        <f>IFERROR(__xludf.DUMMYFUNCTION("""COMPUTED_VALUE"""),"https://scholar.google.com/citations?hl=en&amp;view_op=list_hcore&amp;venue=Umlb1kMURG4J.2024")</f>
        <v>https://scholar.google.com/citations?hl=en&amp;view_op=list_hcore&amp;venue=Umlb1kMURG4J.2024</v>
      </c>
      <c r="F25" s="98"/>
      <c r="G25" s="57"/>
      <c r="I25" s="60" t="str">
        <f>IFERROR(__xludf.DUMMYFUNCTION("""COMPUTED_VALUE"""),"https://dblp.org/db/conf/iccv/index.html")</f>
        <v>https://dblp.org/db/conf/iccv/index.html</v>
      </c>
    </row>
    <row r="26">
      <c r="A26" s="87" t="str">
        <f>IFERROR(__xludf.DUMMYFUNCTION("""COMPUTED_VALUE"""),"Eventos da Área")</f>
        <v>Eventos da Área</v>
      </c>
      <c r="B26" s="98" t="str">
        <f>IFERROR(__xludf.DUMMYFUNCTION("""COMPUTED_VALUE"""),"ICML")</f>
        <v>ICML</v>
      </c>
      <c r="C26" s="98" t="str">
        <f>IFERROR(__xludf.DUMMYFUNCTION("""COMPUTED_VALUE"""),"International Conference on Machine Learning")</f>
        <v>International Conference on Machine Learning</v>
      </c>
      <c r="D26" s="99">
        <f>IFERROR(__xludf.DUMMYFUNCTION("""COMPUTED_VALUE"""),268.0)</f>
        <v>268</v>
      </c>
      <c r="E26" s="59" t="str">
        <f>IFERROR(__xludf.DUMMYFUNCTION("""COMPUTED_VALUE"""),"https://scholar.google.com/citations?hl=en&amp;view_op=list_hcore&amp;venue=wL2oxc9mT4YJ.2024")</f>
        <v>https://scholar.google.com/citations?hl=en&amp;view_op=list_hcore&amp;venue=wL2oxc9mT4YJ.2024</v>
      </c>
      <c r="F26" s="98"/>
      <c r="G26" s="57"/>
      <c r="I26" s="60" t="str">
        <f>IFERROR(__xludf.DUMMYFUNCTION("""COMPUTED_VALUE"""),"https://dblp.org/db/conf/icml/index.html")</f>
        <v>https://dblp.org/db/conf/icml/index.html</v>
      </c>
    </row>
    <row r="27">
      <c r="A27" s="87" t="str">
        <f>IFERROR(__xludf.DUMMYFUNCTION("""COMPUTED_VALUE"""),"Eventos da Área")</f>
        <v>Eventos da Área</v>
      </c>
      <c r="B27" s="98" t="str">
        <f>IFERROR(__xludf.DUMMYFUNCTION("""COMPUTED_VALUE"""),"AAAI")</f>
        <v>AAAI</v>
      </c>
      <c r="C27" s="98" t="str">
        <f>IFERROR(__xludf.DUMMYFUNCTION("""COMPUTED_VALUE"""),"AAAI Conference on Artificial Intelligence")</f>
        <v>AAAI Conference on Artificial Intelligence</v>
      </c>
      <c r="D27" s="99">
        <f>IFERROR(__xludf.DUMMYFUNCTION("""COMPUTED_VALUE"""),220.0)</f>
        <v>220</v>
      </c>
      <c r="E27" s="59" t="str">
        <f>IFERROR(__xludf.DUMMYFUNCTION("""COMPUTED_VALUE"""),"https://scholar.google.com/citations?hl=en&amp;view_op=list_hcore&amp;venue=PV9sQN5dnPsJ.2024")</f>
        <v>https://scholar.google.com/citations?hl=en&amp;view_op=list_hcore&amp;venue=PV9sQN5dnPsJ.2024</v>
      </c>
      <c r="F27" s="98"/>
      <c r="G27" s="57"/>
      <c r="I27" s="60" t="str">
        <f>IFERROR(__xludf.DUMMYFUNCTION("""COMPUTED_VALUE"""),"https://dblp.org/db/conf/aaai/index.html")</f>
        <v>https://dblp.org/db/conf/aaai/index.html</v>
      </c>
    </row>
    <row r="28">
      <c r="A28" s="87" t="str">
        <f>IFERROR(__xludf.DUMMYFUNCTION("""COMPUTED_VALUE"""),"Eventos da Área")</f>
        <v>Eventos da Área</v>
      </c>
      <c r="B28" s="100" t="str">
        <f>IFERROR(__xludf.DUMMYFUNCTION("""COMPUTED_VALUE"""),"ECCV")</f>
        <v>ECCV</v>
      </c>
      <c r="C28" s="100" t="str">
        <f>IFERROR(__xludf.DUMMYFUNCTION("""COMPUTED_VALUE"""),"European Conference on Computer Vision")</f>
        <v>European Conference on Computer Vision</v>
      </c>
      <c r="D28" s="101">
        <f>IFERROR(__xludf.DUMMYFUNCTION("""COMPUTED_VALUE"""),206.0)</f>
        <v>206</v>
      </c>
      <c r="E28" s="59" t="str">
        <f>IFERROR(__xludf.DUMMYFUNCTION("""COMPUTED_VALUE"""),"https://scholar.google.com/citations?hl=en&amp;view_op=list_hcore&amp;venue=cwIh2C-xo8kJ.2024")</f>
        <v>https://scholar.google.com/citations?hl=en&amp;view_op=list_hcore&amp;venue=cwIh2C-xo8kJ.2024</v>
      </c>
      <c r="F28" s="98"/>
      <c r="G28" s="57"/>
      <c r="I28" s="60" t="str">
        <f>IFERROR(__xludf.DUMMYFUNCTION("""COMPUTED_VALUE"""),"https://dblp.org/db/conf/eccv/index.html")</f>
        <v>https://dblp.org/db/conf/eccv/index.html</v>
      </c>
    </row>
    <row r="29">
      <c r="A29" s="87" t="str">
        <f>IFERROR(__xludf.DUMMYFUNCTION("""COMPUTED_VALUE"""),"Eventos da Área")</f>
        <v>Eventos da Área</v>
      </c>
      <c r="B29" s="98" t="str">
        <f>IFERROR(__xludf.DUMMYFUNCTION("""COMPUTED_VALUE"""),"IJCAI")</f>
        <v>IJCAI</v>
      </c>
      <c r="C29" s="98" t="str">
        <f>IFERROR(__xludf.DUMMYFUNCTION("""COMPUTED_VALUE"""),"International Joint Conference on Artificial Intelligence")</f>
        <v>International Joint Conference on Artificial Intelligence</v>
      </c>
      <c r="D29" s="99">
        <f>IFERROR(__xludf.DUMMYFUNCTION("""COMPUTED_VALUE"""),136.0)</f>
        <v>136</v>
      </c>
      <c r="E29" s="59" t="str">
        <f>IFERROR(__xludf.DUMMYFUNCTION("""COMPUTED_VALUE"""),"https://scholar.google.com/citations?hl=en&amp;view_op=list_hcore&amp;venue=4HxsSu0PUdYJ.2024")</f>
        <v>https://scholar.google.com/citations?hl=en&amp;view_op=list_hcore&amp;venue=4HxsSu0PUdYJ.2024</v>
      </c>
      <c r="F29" s="98"/>
      <c r="G29" s="57"/>
      <c r="I29" s="60" t="str">
        <f>IFERROR(__xludf.DUMMYFUNCTION("""COMPUTED_VALUE"""),"https://dblp.org/db/conf/ijcai/index.html")</f>
        <v>https://dblp.org/db/conf/ijcai/index.html</v>
      </c>
    </row>
    <row r="30">
      <c r="A30" s="87" t="str">
        <f>IFERROR(__xludf.DUMMYFUNCTION("""COMPUTED_VALUE"""),"Eventos da Área")</f>
        <v>Eventos da Área</v>
      </c>
      <c r="B30" s="98" t="str">
        <f>IFERROR(__xludf.DUMMYFUNCTION("""COMPUTED_VALUE"""),"ICASSP")</f>
        <v>ICASSP</v>
      </c>
      <c r="C30" s="98" t="str">
        <f>IFERROR(__xludf.DUMMYFUNCTION("""COMPUTED_VALUE"""),"IEEE International Conference on Acoustics, Speech and Signal Processing")</f>
        <v>IEEE International Conference on Acoustics, Speech and Signal Processing</v>
      </c>
      <c r="D30" s="99">
        <f>IFERROR(__xludf.DUMMYFUNCTION("""COMPUTED_VALUE"""),129.0)</f>
        <v>129</v>
      </c>
      <c r="E30" s="59" t="str">
        <f>IFERROR(__xludf.DUMMYFUNCTION("""COMPUTED_VALUE"""),"https://scholar.google.com/citations?hl=en&amp;view_op=list_hcore&amp;venue=HHC6AUo36fEJ.2024")</f>
        <v>https://scholar.google.com/citations?hl=en&amp;view_op=list_hcore&amp;venue=HHC6AUo36fEJ.2024</v>
      </c>
      <c r="F30" s="98"/>
      <c r="G30" s="57"/>
      <c r="I30" s="60" t="str">
        <f>IFERROR(__xludf.DUMMYFUNCTION("""COMPUTED_VALUE"""),"https://dblp.org/db/conf/icassp/index.html")</f>
        <v>https://dblp.org/db/conf/icassp/index.html</v>
      </c>
    </row>
    <row r="31">
      <c r="A31" s="87" t="str">
        <f>IFERROR(__xludf.DUMMYFUNCTION("""COMPUTED_VALUE"""),"Eventos da Área")</f>
        <v>Eventos da Área</v>
      </c>
      <c r="B31" s="100" t="str">
        <f>IFERROR(__xludf.DUMMYFUNCTION("""COMPUTED_VALUE"""),"ICRA")</f>
        <v>ICRA</v>
      </c>
      <c r="C31" s="100" t="str">
        <f>IFERROR(__xludf.DUMMYFUNCTION("""COMPUTED_VALUE"""),"IEEE International Conference on Robotics and Automation")</f>
        <v>IEEE International Conference on Robotics and Automation</v>
      </c>
      <c r="D31" s="101">
        <f>IFERROR(__xludf.DUMMYFUNCTION("""COMPUTED_VALUE"""),122.0)</f>
        <v>122</v>
      </c>
      <c r="E31" s="59" t="str">
        <f>IFERROR(__xludf.DUMMYFUNCTION("""COMPUTED_VALUE"""),"https://scholar.google.com/citations?hl=en&amp;view_op=list_hcore&amp;venue=Z88T8Kej-9oJ.2024")</f>
        <v>https://scholar.google.com/citations?hl=en&amp;view_op=list_hcore&amp;venue=Z88T8Kej-9oJ.2024</v>
      </c>
      <c r="F31" s="100"/>
      <c r="G31" s="57"/>
      <c r="I31" s="60" t="str">
        <f>IFERROR(__xludf.DUMMYFUNCTION("""COMPUTED_VALUE"""),"https://dblp.org/db/conf/icra/index.html")</f>
        <v>https://dblp.org/db/conf/icra/index.html</v>
      </c>
    </row>
    <row r="32">
      <c r="A32" s="87" t="str">
        <f>IFERROR(__xludf.DUMMYFUNCTION("""COMPUTED_VALUE"""),"Eventos da Área")</f>
        <v>Eventos da Área</v>
      </c>
      <c r="B32" s="98" t="str">
        <f>IFERROR(__xludf.DUMMYFUNCTION("""COMPUTED_VALUE"""),"INTERSPEECH")</f>
        <v>INTERSPEECH</v>
      </c>
      <c r="C32" s="98" t="str">
        <f>IFERROR(__xludf.DUMMYFUNCTION("""COMPUTED_VALUE"""),"Conference of the International Speech Communication Association")</f>
        <v>Conference of the International Speech Communication Association</v>
      </c>
      <c r="D32" s="99">
        <f>IFERROR(__xludf.DUMMYFUNCTION("""COMPUTED_VALUE"""),111.0)</f>
        <v>111</v>
      </c>
      <c r="E32" s="59" t="str">
        <f>IFERROR(__xludf.DUMMYFUNCTION("""COMPUTED_VALUE"""),"https://scholar.google.com/citations?hl=en&amp;view_op=list_hcore&amp;venue=ssdQ_yPkyjAJ.2024")</f>
        <v>https://scholar.google.com/citations?hl=en&amp;view_op=list_hcore&amp;venue=ssdQ_yPkyjAJ.2024</v>
      </c>
      <c r="F32" s="98"/>
      <c r="G32" s="57"/>
      <c r="I32" s="60" t="str">
        <f>IFERROR(__xludf.DUMMYFUNCTION("""COMPUTED_VALUE"""),"https://dblp.org/db/conf/interspeech/index.html")</f>
        <v>https://dblp.org/db/conf/interspeech/index.html</v>
      </c>
    </row>
    <row r="33">
      <c r="A33" s="87" t="str">
        <f>IFERROR(__xludf.DUMMYFUNCTION("""COMPUTED_VALUE"""),"Eventos da Área")</f>
        <v>Eventos da Área</v>
      </c>
      <c r="B33" s="98" t="str">
        <f>IFERROR(__xludf.DUMMYFUNCTION("""COMPUTED_VALUE"""),"WACV")</f>
        <v>WACV</v>
      </c>
      <c r="C33" s="98" t="str">
        <f>IFERROR(__xludf.DUMMYFUNCTION("""COMPUTED_VALUE"""),"Winter Conference on Applications of Computer Vision")</f>
        <v>Winter Conference on Applications of Computer Vision</v>
      </c>
      <c r="D33" s="99">
        <f>IFERROR(__xludf.DUMMYFUNCTION("""COMPUTED_VALUE"""),109.0)</f>
        <v>109</v>
      </c>
      <c r="E33" s="59" t="str">
        <f>IFERROR(__xludf.DUMMYFUNCTION("""COMPUTED_VALUE"""),"https://scholar.google.com/citations?hl=en&amp;view_op=list_hcore&amp;venue=uo-zCIky-iEJ.2024")</f>
        <v>https://scholar.google.com/citations?hl=en&amp;view_op=list_hcore&amp;venue=uo-zCIky-iEJ.2024</v>
      </c>
      <c r="F33" s="103"/>
      <c r="G33" s="102"/>
      <c r="I33" s="60" t="str">
        <f>IFERROR(__xludf.DUMMYFUNCTION("""COMPUTED_VALUE"""),"https://dblp.org/db/conf/wacv/index.html")</f>
        <v>https://dblp.org/db/conf/wacv/index.html</v>
      </c>
    </row>
    <row r="34">
      <c r="A34" s="87" t="str">
        <f>IFERROR(__xludf.DUMMYFUNCTION("""COMPUTED_VALUE"""),"Eventos da Área")</f>
        <v>Eventos da Área</v>
      </c>
      <c r="B34" s="98" t="str">
        <f>IFERROR(__xludf.DUMMYFUNCTION("""COMPUTED_VALUE"""),"ACM Multimedia")</f>
        <v>ACM Multimedia</v>
      </c>
      <c r="C34" s="98" t="str">
        <f>IFERROR(__xludf.DUMMYFUNCTION("""COMPUTED_VALUE"""),"ACM International Conference on Multimedia")</f>
        <v>ACM International Conference on Multimedia</v>
      </c>
      <c r="D34" s="99">
        <f>IFERROR(__xludf.DUMMYFUNCTION("""COMPUTED_VALUE"""),101.0)</f>
        <v>101</v>
      </c>
      <c r="E34" s="59" t="str">
        <f>IFERROR(__xludf.DUMMYFUNCTION("""COMPUTED_VALUE"""),"https://scholar.google.com/citations?hl=en&amp;view_op=list_hcore&amp;venue=vKMrxyJUpv0J.2024")</f>
        <v>https://scholar.google.com/citations?hl=en&amp;view_op=list_hcore&amp;venue=vKMrxyJUpv0J.2024</v>
      </c>
      <c r="F34" s="98"/>
      <c r="G34" s="57"/>
      <c r="I34" s="60" t="str">
        <f>IFERROR(__xludf.DUMMYFUNCTION("""COMPUTED_VALUE"""),"https://dblp.org/db/conf/mm/index.html")</f>
        <v>https://dblp.org/db/conf/mm/index.html</v>
      </c>
    </row>
    <row r="35">
      <c r="A35" s="87" t="str">
        <f>IFERROR(__xludf.DUMMYFUNCTION("""COMPUTED_VALUE"""),"Eventos da Área")</f>
        <v>Eventos da Área</v>
      </c>
      <c r="B35" s="98" t="str">
        <f>IFERROR(__xludf.DUMMYFUNCTION("""COMPUTED_VALUE"""),"MICCAI")</f>
        <v>MICCAI</v>
      </c>
      <c r="C35" s="98" t="str">
        <f>IFERROR(__xludf.DUMMYFUNCTION("""COMPUTED_VALUE"""),"Medical Image Computing and Computer Assisted Intervention")</f>
        <v>Medical Image Computing and Computer Assisted Intervention</v>
      </c>
      <c r="D35" s="99">
        <f>IFERROR(__xludf.DUMMYFUNCTION("""COMPUTED_VALUE"""),96.0)</f>
        <v>96</v>
      </c>
      <c r="E35" s="59" t="str">
        <f>IFERROR(__xludf.DUMMYFUNCTION("""COMPUTED_VALUE"""),"https://scholar.google.com/citations?hl=en&amp;view_op=list_hcore&amp;venue=QLpioUFGyGMJ.2024")</f>
        <v>https://scholar.google.com/citations?hl=en&amp;view_op=list_hcore&amp;venue=QLpioUFGyGMJ.2024</v>
      </c>
      <c r="F35" s="98"/>
      <c r="G35" s="57"/>
      <c r="I35" s="60" t="str">
        <f>IFERROR(__xludf.DUMMYFUNCTION("""COMPUTED_VALUE"""),"https://dblp.org/db/conf/miccai/index.html")</f>
        <v>https://dblp.org/db/conf/miccai/index.html</v>
      </c>
    </row>
    <row r="36">
      <c r="A36" s="87" t="str">
        <f>IFERROR(__xludf.DUMMYFUNCTION("""COMPUTED_VALUE"""),"Eventos da Área")</f>
        <v>Eventos da Área</v>
      </c>
      <c r="B36" s="98" t="str">
        <f>IFERROR(__xludf.DUMMYFUNCTION("""COMPUTED_VALUE"""),"CEC")</f>
        <v>CEC</v>
      </c>
      <c r="C36" s="98" t="str">
        <f>IFERROR(__xludf.DUMMYFUNCTION("""COMPUTED_VALUE"""),"IEEE Congress on Evolutionary Computation")</f>
        <v>IEEE Congress on Evolutionary Computation</v>
      </c>
      <c r="D36" s="99">
        <f>IFERROR(__xludf.DUMMYFUNCTION("""COMPUTED_VALUE"""),89.0)</f>
        <v>89</v>
      </c>
      <c r="E36" s="59" t="str">
        <f>IFERROR(__xludf.DUMMYFUNCTION("""COMPUTED_VALUE"""),"https://scholar.google.com/citations?hl=en&amp;view_op=list_hcore&amp;venue=ThxTsNVxvT8J.2024")</f>
        <v>https://scholar.google.com/citations?hl=en&amp;view_op=list_hcore&amp;venue=ThxTsNVxvT8J.2024</v>
      </c>
      <c r="F36" s="98"/>
      <c r="G36" s="57"/>
      <c r="I36" s="60" t="str">
        <f>IFERROR(__xludf.DUMMYFUNCTION("""COMPUTED_VALUE"""),"https://dblp.org/db/conf/cec/index.html")</f>
        <v>https://dblp.org/db/conf/cec/index.html</v>
      </c>
    </row>
    <row r="37">
      <c r="A37" s="87" t="str">
        <f>IFERROR(__xludf.DUMMYFUNCTION("""COMPUTED_VALUE"""),"Eventos da Área")</f>
        <v>Eventos da Área</v>
      </c>
      <c r="B37" s="98" t="str">
        <f>IFERROR(__xludf.DUMMYFUNCTION("""COMPUTED_VALUE"""),"IROS")</f>
        <v>IROS</v>
      </c>
      <c r="C37" s="98" t="str">
        <f>IFERROR(__xludf.DUMMYFUNCTION("""COMPUTED_VALUE"""),"IEEE/RSJ International Conference on Intelligent Robots and Systems")</f>
        <v>IEEE/RSJ International Conference on Intelligent Robots and Systems</v>
      </c>
      <c r="D37" s="99">
        <f>IFERROR(__xludf.DUMMYFUNCTION("""COMPUTED_VALUE"""),86.0)</f>
        <v>86</v>
      </c>
      <c r="E37" s="59" t="str">
        <f>IFERROR(__xludf.DUMMYFUNCTION("""COMPUTED_VALUE"""),"https://scholar.google.com/citations?hl=en&amp;view_op=list_hcore&amp;venue=QZ31s4XlF8EJ.2024")</f>
        <v>https://scholar.google.com/citations?hl=en&amp;view_op=list_hcore&amp;venue=QZ31s4XlF8EJ.2024</v>
      </c>
      <c r="F37" s="98"/>
      <c r="G37" s="57"/>
      <c r="I37" s="60" t="str">
        <f>IFERROR(__xludf.DUMMYFUNCTION("""COMPUTED_VALUE"""),"https://dblp.org/db/conf/iros/index.html")</f>
        <v>https://dblp.org/db/conf/iros/index.html</v>
      </c>
    </row>
    <row r="38">
      <c r="A38" s="87" t="str">
        <f>IFERROR(__xludf.DUMMYFUNCTION("""COMPUTED_VALUE"""),"Eventos da Área")</f>
        <v>Eventos da Área</v>
      </c>
      <c r="B38" s="98" t="str">
        <f>IFERROR(__xludf.DUMMYFUNCTION("""COMPUTED_VALUE"""),"ICIP")</f>
        <v>ICIP</v>
      </c>
      <c r="C38" s="98" t="str">
        <f>IFERROR(__xludf.DUMMYFUNCTION("""COMPUTED_VALUE"""),"IEEE International Conference on Image Processing")</f>
        <v>IEEE International Conference on Image Processing</v>
      </c>
      <c r="D38" s="99">
        <f>IFERROR(__xludf.DUMMYFUNCTION("""COMPUTED_VALUE"""),66.0)</f>
        <v>66</v>
      </c>
      <c r="E38" s="59" t="str">
        <f>IFERROR(__xludf.DUMMYFUNCTION("""COMPUTED_VALUE"""),"https://scholar.google.com/citations?hl=en&amp;view_op=list_hcore&amp;venue=a9ZSGA40nccJ.2024")</f>
        <v>https://scholar.google.com/citations?hl=en&amp;view_op=list_hcore&amp;venue=a9ZSGA40nccJ.2024</v>
      </c>
      <c r="F38" s="98"/>
      <c r="G38" s="57"/>
      <c r="I38" s="60" t="str">
        <f>IFERROR(__xludf.DUMMYFUNCTION("""COMPUTED_VALUE"""),"https://dblp.org/db/conf/icip/index.html")</f>
        <v>https://dblp.org/db/conf/icip/index.html</v>
      </c>
    </row>
    <row r="39">
      <c r="A39" s="87" t="str">
        <f>IFERROR(__xludf.DUMMYFUNCTION("""COMPUTED_VALUE"""),"Eventos da Área")</f>
        <v>Eventos da Área</v>
      </c>
      <c r="B39" s="98" t="str">
        <f>IFERROR(__xludf.DUMMYFUNCTION("""COMPUTED_VALUE"""),"BMVC")</f>
        <v>BMVC</v>
      </c>
      <c r="C39" s="98" t="str">
        <f>IFERROR(__xludf.DUMMYFUNCTION("""COMPUTED_VALUE"""),"British Machine Vision Conference")</f>
        <v>British Machine Vision Conference</v>
      </c>
      <c r="D39" s="99">
        <f>IFERROR(__xludf.DUMMYFUNCTION("""COMPUTED_VALUE"""),65.0)</f>
        <v>65</v>
      </c>
      <c r="E39" s="59" t="str">
        <f>IFERROR(__xludf.DUMMYFUNCTION("""COMPUTED_VALUE"""),"https://scholar.google.com/citations?hl=en&amp;view_op=list_hcore&amp;venue=T_DfB2ikUbwJ.2024")</f>
        <v>https://scholar.google.com/citations?hl=en&amp;view_op=list_hcore&amp;venue=T_DfB2ikUbwJ.2024</v>
      </c>
      <c r="F39" s="98"/>
      <c r="G39" s="57"/>
      <c r="I39" s="60" t="str">
        <f>IFERROR(__xludf.DUMMYFUNCTION("""COMPUTED_VALUE"""),"https://dblp.org/db/conf/bmvc/index.html")</f>
        <v>https://dblp.org/db/conf/bmvc/index.html</v>
      </c>
    </row>
    <row r="40">
      <c r="A40" s="87" t="str">
        <f>IFERROR(__xludf.DUMMYFUNCTION("""COMPUTED_VALUE"""),"Eventos da Área")</f>
        <v>Eventos da Área</v>
      </c>
      <c r="B40" s="98" t="str">
        <f>IFERROR(__xludf.DUMMYFUNCTION("""COMPUTED_VALUE"""),"IJCNN")</f>
        <v>IJCNN</v>
      </c>
      <c r="C40" s="98" t="str">
        <f>IFERROR(__xludf.DUMMYFUNCTION("""COMPUTED_VALUE"""),"International Joint Conference on Neural Networks")</f>
        <v>International Joint Conference on Neural Networks</v>
      </c>
      <c r="D40" s="99">
        <f>IFERROR(__xludf.DUMMYFUNCTION("""COMPUTED_VALUE"""),64.0)</f>
        <v>64</v>
      </c>
      <c r="E40" s="59" t="str">
        <f>IFERROR(__xludf.DUMMYFUNCTION("""COMPUTED_VALUE"""),"https://scholar.google.com/citations?hl=en&amp;view_op=list_hcore&amp;venue=-t1SY74YlYcJ.2024")</f>
        <v>https://scholar.google.com/citations?hl=en&amp;view_op=list_hcore&amp;venue=-t1SY74YlYcJ.2024</v>
      </c>
      <c r="F40" s="98"/>
      <c r="G40" s="57"/>
      <c r="I40" s="60" t="str">
        <f>IFERROR(__xludf.DUMMYFUNCTION("""COMPUTED_VALUE"""),"https://dblp.org/db/conf/ijcnn/index.html")</f>
        <v>https://dblp.org/db/conf/ijcnn/index.html</v>
      </c>
    </row>
    <row r="41">
      <c r="A41" s="87" t="str">
        <f>IFERROR(__xludf.DUMMYFUNCTION("""COMPUTED_VALUE"""),"Eventos da Área")</f>
        <v>Eventos da Área</v>
      </c>
      <c r="B41" s="98" t="str">
        <f>IFERROR(__xludf.DUMMYFUNCTION("""COMPUTED_VALUE"""),"ICPR")</f>
        <v>ICPR</v>
      </c>
      <c r="C41" s="98" t="str">
        <f>IFERROR(__xludf.DUMMYFUNCTION("""COMPUTED_VALUE"""),"International Conference on Pattern Recognition")</f>
        <v>International Conference on Pattern Recognition</v>
      </c>
      <c r="D41" s="99">
        <f>IFERROR(__xludf.DUMMYFUNCTION("""COMPUTED_VALUE"""),56.0)</f>
        <v>56</v>
      </c>
      <c r="E41" s="59" t="str">
        <f>IFERROR(__xludf.DUMMYFUNCTION("""COMPUTED_VALUE"""),"https://scholar.google.com/citations?hl=en&amp;view_op=list_hcore&amp;venue=cVHg_1PrXPkJ.2024")</f>
        <v>https://scholar.google.com/citations?hl=en&amp;view_op=list_hcore&amp;venue=cVHg_1PrXPkJ.2024</v>
      </c>
      <c r="F41" s="98"/>
      <c r="G41" s="57"/>
      <c r="I41" s="60" t="str">
        <f>IFERROR(__xludf.DUMMYFUNCTION("""COMPUTED_VALUE"""),"https://dblp.org/db/conf/icpr/index.html")</f>
        <v>https://dblp.org/db/conf/icpr/index.html</v>
      </c>
    </row>
    <row r="42">
      <c r="A42" s="87" t="str">
        <f>IFERROR(__xludf.DUMMYFUNCTION("""COMPUTED_VALUE"""),"Eventos da Área")</f>
        <v>Eventos da Área</v>
      </c>
      <c r="B42" s="98" t="str">
        <f>IFERROR(__xludf.DUMMYFUNCTION("""COMPUTED_VALUE"""),"ITSC")</f>
        <v>ITSC</v>
      </c>
      <c r="C42" s="98" t="str">
        <f>IFERROR(__xludf.DUMMYFUNCTION("""COMPUTED_VALUE"""),"IEEE Intelligent Transportation Systems Conference")</f>
        <v>IEEE Intelligent Transportation Systems Conference</v>
      </c>
      <c r="D42" s="99">
        <f>IFERROR(__xludf.DUMMYFUNCTION("""COMPUTED_VALUE"""),55.0)</f>
        <v>55</v>
      </c>
      <c r="E42" s="59" t="str">
        <f>IFERROR(__xludf.DUMMYFUNCTION("""COMPUTED_VALUE"""),"https://scholar.google.com/citations?hl=en&amp;view_op=list_hcore&amp;venue=F_tKvHBbkU8J.2024")</f>
        <v>https://scholar.google.com/citations?hl=en&amp;view_op=list_hcore&amp;venue=F_tKvHBbkU8J.2024</v>
      </c>
      <c r="F42" s="98"/>
      <c r="G42" s="57"/>
      <c r="I42" s="60" t="str">
        <f>IFERROR(__xludf.DUMMYFUNCTION("""COMPUTED_VALUE"""),"https://dblp.org/db/conf/itsc/index.html")</f>
        <v>https://dblp.org/db/conf/itsc/index.html</v>
      </c>
    </row>
    <row r="43">
      <c r="A43" s="93" t="str">
        <f>IFERROR(__xludf.DUMMYFUNCTION("""COMPUTED_VALUE"""),"Eventos da Área")</f>
        <v>Eventos da Área</v>
      </c>
      <c r="B43" s="98" t="str">
        <f>IFERROR(__xludf.DUMMYFUNCTION("""COMPUTED_VALUE"""),"ISBI")</f>
        <v>ISBI</v>
      </c>
      <c r="C43" s="98" t="str">
        <f>IFERROR(__xludf.DUMMYFUNCTION("""COMPUTED_VALUE"""),"IEEE International Symposium on Biomedical Imaging")</f>
        <v>IEEE International Symposium on Biomedical Imaging</v>
      </c>
      <c r="D43" s="99">
        <f>IFERROR(__xludf.DUMMYFUNCTION("""COMPUTED_VALUE"""),53.0)</f>
        <v>53</v>
      </c>
      <c r="E43" s="59" t="str">
        <f>IFERROR(__xludf.DUMMYFUNCTION("""COMPUTED_VALUE"""),"https://scholar.google.com/citations?hl=en&amp;view_op=list_hcore&amp;venue=BvOzx47YdqIJ.2024")</f>
        <v>https://scholar.google.com/citations?hl=en&amp;view_op=list_hcore&amp;venue=BvOzx47YdqIJ.2024</v>
      </c>
      <c r="F43" s="98"/>
      <c r="G43" s="57"/>
      <c r="I43" s="60" t="str">
        <f>IFERROR(__xludf.DUMMYFUNCTION("""COMPUTED_VALUE"""),"https://dblp.org/db/conf/isbi/index.html")</f>
        <v>https://dblp.org/db/conf/isbi/index.html</v>
      </c>
    </row>
    <row r="44">
      <c r="A44" s="93" t="str">
        <f>IFERROR(__xludf.DUMMYFUNCTION("""COMPUTED_VALUE"""),"Eventos da Área")</f>
        <v>Eventos da Área</v>
      </c>
      <c r="B44" s="98" t="str">
        <f>IFERROR(__xludf.DUMMYFUNCTION("""COMPUTED_VALUE"""),"3DV")</f>
        <v>3DV</v>
      </c>
      <c r="C44" s="98" t="str">
        <f>IFERROR(__xludf.DUMMYFUNCTION("""COMPUTED_VALUE"""),"International Conference on 3D Vision")</f>
        <v>International Conference on 3D Vision</v>
      </c>
      <c r="D44" s="99">
        <f>IFERROR(__xludf.DUMMYFUNCTION("""COMPUTED_VALUE"""),51.0)</f>
        <v>51</v>
      </c>
      <c r="E44" s="59" t="str">
        <f>IFERROR(__xludf.DUMMYFUNCTION("""COMPUTED_VALUE"""),"https://scholar.google.com/citations?hl=en&amp;view_op=list_hcore&amp;venue=_QeiDtrgUSoJ.2024")</f>
        <v>https://scholar.google.com/citations?hl=en&amp;view_op=list_hcore&amp;venue=_QeiDtrgUSoJ.2024</v>
      </c>
      <c r="F44" s="98"/>
      <c r="G44" s="57"/>
      <c r="I44" s="60" t="str">
        <f>IFERROR(__xludf.DUMMYFUNCTION("""COMPUTED_VALUE"""),"https://dblp.org/db/conf/3dim/index.html")</f>
        <v>https://dblp.org/db/conf/3dim/index.html</v>
      </c>
    </row>
    <row r="45">
      <c r="A45" s="93" t="str">
        <f>IFERROR(__xludf.DUMMYFUNCTION("""COMPUTED_VALUE"""),"Eventos da Área")</f>
        <v>Eventos da Área</v>
      </c>
      <c r="B45" s="98" t="str">
        <f>IFERROR(__xludf.DUMMYFUNCTION("""COMPUTED_VALUE"""),"ICDAR")</f>
        <v>ICDAR</v>
      </c>
      <c r="C45" s="98" t="str">
        <f>IFERROR(__xludf.DUMMYFUNCTION("""COMPUTED_VALUE"""),"International Conference on Document Analysis and Recognition")</f>
        <v>International Conference on Document Analysis and Recognition</v>
      </c>
      <c r="D45" s="99">
        <f>IFERROR(__xludf.DUMMYFUNCTION("""COMPUTED_VALUE"""),50.0)</f>
        <v>50</v>
      </c>
      <c r="E45" s="59" t="str">
        <f>IFERROR(__xludf.DUMMYFUNCTION("""COMPUTED_VALUE"""),"https://scholar.google.com/citations?hl=en&amp;view_op=list_hcore&amp;venue=HF-0Hiax7t8J.2024")</f>
        <v>https://scholar.google.com/citations?hl=en&amp;view_op=list_hcore&amp;venue=HF-0Hiax7t8J.2024</v>
      </c>
      <c r="F45" s="98"/>
      <c r="G45" s="57"/>
      <c r="I45" s="60" t="str">
        <f>IFERROR(__xludf.DUMMYFUNCTION("""COMPUTED_VALUE"""),"https://dblp.org/db/conf/icdar/index.html")</f>
        <v>https://dblp.org/db/conf/icdar/index.html</v>
      </c>
    </row>
    <row r="46">
      <c r="A46" s="93" t="str">
        <f>IFERROR(__xludf.DUMMYFUNCTION("""COMPUTED_VALUE"""),"Eventos da Área")</f>
        <v>Eventos da Área</v>
      </c>
      <c r="B46" s="98" t="str">
        <f>IFERROR(__xludf.DUMMYFUNCTION("""COMPUTED_VALUE"""),"EMBC")</f>
        <v>EMBC</v>
      </c>
      <c r="C46" s="98" t="str">
        <f>IFERROR(__xludf.DUMMYFUNCTION("""COMPUTED_VALUE"""),"International Conference of the IEEE Engineering in Medicine and Biology Society")</f>
        <v>International Conference of the IEEE Engineering in Medicine and Biology Society</v>
      </c>
      <c r="D46" s="99">
        <f>IFERROR(__xludf.DUMMYFUNCTION("""COMPUTED_VALUE"""),48.0)</f>
        <v>48</v>
      </c>
      <c r="E46" s="59" t="str">
        <f>IFERROR(__xludf.DUMMYFUNCTION("""COMPUTED_VALUE"""),"https://scholar.google.com/citations?hl=en&amp;view_op=list_hcore&amp;venue=la0gAKbHmIkJ.2024")</f>
        <v>https://scholar.google.com/citations?hl=en&amp;view_op=list_hcore&amp;venue=la0gAKbHmIkJ.2024</v>
      </c>
      <c r="F46" s="98"/>
      <c r="G46" s="57"/>
      <c r="I46" s="60" t="str">
        <f>IFERROR(__xludf.DUMMYFUNCTION("""COMPUTED_VALUE"""),"https://dblp.org/db/conf/embc/index.html")</f>
        <v>https://dblp.org/db/conf/embc/index.html</v>
      </c>
    </row>
    <row r="47">
      <c r="A47" s="93" t="str">
        <f>IFERROR(__xludf.DUMMYFUNCTION("""COMPUTED_VALUE"""),"Eventos da Área")</f>
        <v>Eventos da Área</v>
      </c>
      <c r="B47" s="98" t="str">
        <f>IFERROR(__xludf.DUMMYFUNCTION("""COMPUTED_VALUE"""),"GECCO")</f>
        <v>GECCO</v>
      </c>
      <c r="C47" s="98" t="str">
        <f>IFERROR(__xludf.DUMMYFUNCTION("""COMPUTED_VALUE"""),"Conference on Genetic and Evolutionary Computation")</f>
        <v>Conference on Genetic and Evolutionary Computation</v>
      </c>
      <c r="D47" s="99">
        <f>IFERROR(__xludf.DUMMYFUNCTION("""COMPUTED_VALUE"""),47.0)</f>
        <v>47</v>
      </c>
      <c r="E47" s="59" t="str">
        <f>IFERROR(__xludf.DUMMYFUNCTION("""COMPUTED_VALUE"""),"https://scholar.google.com/citations?hl=en&amp;view_op=list_hcore&amp;venue=pQVER_ii7sMJ.2024")</f>
        <v>https://scholar.google.com/citations?hl=en&amp;view_op=list_hcore&amp;venue=pQVER_ii7sMJ.2024</v>
      </c>
      <c r="F47" s="98"/>
      <c r="G47" s="57"/>
      <c r="I47" s="60" t="str">
        <f>IFERROR(__xludf.DUMMYFUNCTION("""COMPUTED_VALUE"""),"https://dblp.org/db/conf/gecco/index.html")</f>
        <v>https://dblp.org/db/conf/gecco/index.html</v>
      </c>
    </row>
    <row r="48">
      <c r="A48" s="93" t="str">
        <f>IFERROR(__xludf.DUMMYFUNCTION("""COMPUTED_VALUE"""),"Eventos da Área")</f>
        <v>Eventos da Área</v>
      </c>
      <c r="B48" s="98" t="str">
        <f>IFERROR(__xludf.DUMMYFUNCTION("""COMPUTED_VALUE"""),"VTC")</f>
        <v>VTC</v>
      </c>
      <c r="C48" s="98" t="str">
        <f>IFERROR(__xludf.DUMMYFUNCTION("""COMPUTED_VALUE"""),"IEEE Vehicular Technology Conference")</f>
        <v>IEEE Vehicular Technology Conference</v>
      </c>
      <c r="D48" s="99">
        <f>IFERROR(__xludf.DUMMYFUNCTION("""COMPUTED_VALUE"""),46.0)</f>
        <v>46</v>
      </c>
      <c r="E48" s="59" t="str">
        <f>IFERROR(__xludf.DUMMYFUNCTION("""COMPUTED_VALUE"""),"https://scholar.google.com/citations?hl=en&amp;view_op=list_hcore&amp;venue=Y0aL1yWCdxkJ.2024")</f>
        <v>https://scholar.google.com/citations?hl=en&amp;view_op=list_hcore&amp;venue=Y0aL1yWCdxkJ.2024</v>
      </c>
      <c r="F48" s="98"/>
      <c r="G48" s="57"/>
      <c r="I48" s="60" t="str">
        <f>IFERROR(__xludf.DUMMYFUNCTION("""COMPUTED_VALUE"""),"https://dblp.org/db/conf/vtc/index.html")</f>
        <v>https://dblp.org/db/conf/vtc/index.html</v>
      </c>
    </row>
    <row r="49">
      <c r="A49" s="93" t="str">
        <f>IFERROR(__xludf.DUMMYFUNCTION("""COMPUTED_VALUE"""),"Eventos da Área")</f>
        <v>Eventos da Área</v>
      </c>
      <c r="B49" s="98" t="str">
        <f>IFERROR(__xludf.DUMMYFUNCTION("""COMPUTED_VALUE"""),"ICME")</f>
        <v>ICME</v>
      </c>
      <c r="C49" s="98" t="str">
        <f>IFERROR(__xludf.DUMMYFUNCTION("""COMPUTED_VALUE"""),"IEEE International Conference on Multimedia and Expo")</f>
        <v>IEEE International Conference on Multimedia and Expo</v>
      </c>
      <c r="D49" s="99">
        <f>IFERROR(__xludf.DUMMYFUNCTION("""COMPUTED_VALUE"""),46.0)</f>
        <v>46</v>
      </c>
      <c r="E49" s="59" t="str">
        <f>IFERROR(__xludf.DUMMYFUNCTION("""COMPUTED_VALUE"""),"https://scholar.google.com/citations?hl=en&amp;view_op=list_hcore&amp;venue=xYXdFLRJbCMJ.2024")</f>
        <v>https://scholar.google.com/citations?hl=en&amp;view_op=list_hcore&amp;venue=xYXdFLRJbCMJ.2024</v>
      </c>
      <c r="F49" s="98"/>
      <c r="G49" s="57"/>
      <c r="I49" s="60" t="str">
        <f>IFERROR(__xludf.DUMMYFUNCTION("""COMPUTED_VALUE"""),"https://dblp.org/db/conf/icmcs/index.html")</f>
        <v>https://dblp.org/db/conf/icmcs/index.html</v>
      </c>
    </row>
    <row r="50">
      <c r="A50" s="93" t="str">
        <f>IFERROR(__xludf.DUMMYFUNCTION("""COMPUTED_VALUE"""),"Eventos da Área")</f>
        <v>Eventos da Área</v>
      </c>
      <c r="B50" s="98" t="str">
        <f>IFERROR(__xludf.DUMMYFUNCTION("""COMPUTED_VALUE"""),"FG")</f>
        <v>FG</v>
      </c>
      <c r="C50" s="98" t="str">
        <f>IFERROR(__xludf.DUMMYFUNCTION("""COMPUTED_VALUE"""),"IEEE International Conference on Automatic Face &amp; Gesture Recognition")</f>
        <v>IEEE International Conference on Automatic Face &amp; Gesture Recognition</v>
      </c>
      <c r="D50" s="99">
        <f>IFERROR(__xludf.DUMMYFUNCTION("""COMPUTED_VALUE"""),43.0)</f>
        <v>43</v>
      </c>
      <c r="E50" s="59" t="str">
        <f>IFERROR(__xludf.DUMMYFUNCTION("""COMPUTED_VALUE"""),"https://scholar.google.com/citations?hl=en&amp;view_op=list_hcore&amp;venue=tOKomDtxujwJ.2024")</f>
        <v>https://scholar.google.com/citations?hl=en&amp;view_op=list_hcore&amp;venue=tOKomDtxujwJ.2024</v>
      </c>
      <c r="F50" s="98"/>
      <c r="G50" s="57"/>
      <c r="I50" s="60" t="str">
        <f>IFERROR(__xludf.DUMMYFUNCTION("""COMPUTED_VALUE"""),"https://dblp.org/db/conf/fgr/index.html")</f>
        <v>https://dblp.org/db/conf/fgr/index.html</v>
      </c>
    </row>
    <row r="51">
      <c r="A51" s="93" t="str">
        <f>IFERROR(__xludf.DUMMYFUNCTION("""COMPUTED_VALUE"""),"Eventos da Área")</f>
        <v>Eventos da Área</v>
      </c>
      <c r="B51" s="98" t="str">
        <f>IFERROR(__xludf.DUMMYFUNCTION("""COMPUTED_VALUE"""),"IGARSS")</f>
        <v>IGARSS</v>
      </c>
      <c r="C51" s="98" t="str">
        <f>IFERROR(__xludf.DUMMYFUNCTION("""COMPUTED_VALUE"""),"IEEE International Geoscience and Remote Sensing Symposium")</f>
        <v>IEEE International Geoscience and Remote Sensing Symposium</v>
      </c>
      <c r="D51" s="99">
        <f>IFERROR(__xludf.DUMMYFUNCTION("""COMPUTED_VALUE"""),40.0)</f>
        <v>40</v>
      </c>
      <c r="E51" s="59" t="str">
        <f>IFERROR(__xludf.DUMMYFUNCTION("""COMPUTED_VALUE"""),"https://scholar.google.com/citations?hl=en&amp;view_op=list_hcore&amp;venue=D2xvUFgEEJEJ.2024")</f>
        <v>https://scholar.google.com/citations?hl=en&amp;view_op=list_hcore&amp;venue=D2xvUFgEEJEJ.2024</v>
      </c>
      <c r="F51" s="98"/>
      <c r="G51" s="57"/>
      <c r="I51" s="60" t="str">
        <f>IFERROR(__xludf.DUMMYFUNCTION("""COMPUTED_VALUE"""),"https://dblp.org/db/conf/igarss/index.html")</f>
        <v>https://dblp.org/db/conf/igarss/index.html</v>
      </c>
    </row>
    <row r="52">
      <c r="A52" s="93" t="str">
        <f>IFERROR(__xludf.DUMMYFUNCTION("""COMPUTED_VALUE"""),"Eventos da Área")</f>
        <v>Eventos da Área</v>
      </c>
      <c r="B52" s="98" t="str">
        <f>IFERROR(__xludf.DUMMYFUNCTION("""COMPUTED_VALUE"""),"ACCV")</f>
        <v>ACCV</v>
      </c>
      <c r="C52" s="98" t="str">
        <f>IFERROR(__xludf.DUMMYFUNCTION("""COMPUTED_VALUE"""),"Asian Conference on Computer Vision")</f>
        <v>Asian Conference on Computer Vision</v>
      </c>
      <c r="D52" s="99">
        <f>IFERROR(__xludf.DUMMYFUNCTION("""COMPUTED_VALUE"""),39.0)</f>
        <v>39</v>
      </c>
      <c r="E52" s="59" t="str">
        <f>IFERROR(__xludf.DUMMYFUNCTION("""COMPUTED_VALUE"""),"https://scholar.google.com/citations?hl=en&amp;view_op=list_hcore&amp;venue=C6G2a_KY88AJ.2024")</f>
        <v>https://scholar.google.com/citations?hl=en&amp;view_op=list_hcore&amp;venue=C6G2a_KY88AJ.2024</v>
      </c>
      <c r="F52" s="98"/>
      <c r="G52" s="57"/>
      <c r="I52" s="60" t="str">
        <f>IFERROR(__xludf.DUMMYFUNCTION("""COMPUTED_VALUE"""),"https://dblp.org/db/conf/accv/index.html")</f>
        <v>https://dblp.org/db/conf/accv/index.html</v>
      </c>
    </row>
    <row r="53">
      <c r="A53" s="93" t="str">
        <f>IFERROR(__xludf.DUMMYFUNCTION("""COMPUTED_VALUE"""),"Eventos da Área")</f>
        <v>Eventos da Área</v>
      </c>
      <c r="B53" s="98" t="str">
        <f>IFERROR(__xludf.DUMMYFUNCTION("""COMPUTED_VALUE"""),"EUSIPCO")</f>
        <v>EUSIPCO</v>
      </c>
      <c r="C53" s="98" t="str">
        <f>IFERROR(__xludf.DUMMYFUNCTION("""COMPUTED_VALUE"""),"European Signal Processing Conference")</f>
        <v>European Signal Processing Conference</v>
      </c>
      <c r="D53" s="99">
        <f>IFERROR(__xludf.DUMMYFUNCTION("""COMPUTED_VALUE"""),36.0)</f>
        <v>36</v>
      </c>
      <c r="E53" s="59" t="str">
        <f>IFERROR(__xludf.DUMMYFUNCTION("""COMPUTED_VALUE"""),"https://scholar.google.com/citations?hl=en&amp;view_op=list_hcore&amp;venue=oJ-ZYoNCyCQJ.2024")</f>
        <v>https://scholar.google.com/citations?hl=en&amp;view_op=list_hcore&amp;venue=oJ-ZYoNCyCQJ.2024</v>
      </c>
      <c r="F53" s="98"/>
      <c r="G53" s="57"/>
      <c r="I53" s="60" t="str">
        <f>IFERROR(__xludf.DUMMYFUNCTION("""COMPUTED_VALUE"""),"https://dblp.org/db/conf/eusipco/index.html")</f>
        <v>https://dblp.org/db/conf/eusipco/index.html</v>
      </c>
    </row>
    <row r="54">
      <c r="A54" s="93" t="str">
        <f>IFERROR(__xludf.DUMMYFUNCTION("""COMPUTED_VALUE"""),"Eventos da Área")</f>
        <v>Eventos da Área</v>
      </c>
      <c r="B54" s="98" t="str">
        <f>IFERROR(__xludf.DUMMYFUNCTION("""COMPUTED_VALUE"""),"ICMLA")</f>
        <v>ICMLA</v>
      </c>
      <c r="C54" s="98" t="str">
        <f>IFERROR(__xludf.DUMMYFUNCTION("""COMPUTED_VALUE"""),"IEEE International Conference on Machine Learning and Applications")</f>
        <v>IEEE International Conference on Machine Learning and Applications</v>
      </c>
      <c r="D54" s="99">
        <f>IFERROR(__xludf.DUMMYFUNCTION("""COMPUTED_VALUE"""),35.0)</f>
        <v>35</v>
      </c>
      <c r="E54" s="59" t="str">
        <f>IFERROR(__xludf.DUMMYFUNCTION("""COMPUTED_VALUE"""),"https://scholar.google.com/citations?hl=en&amp;view_op=list_hcore&amp;venue=jv1gvzv4-LgJ.2024")</f>
        <v>https://scholar.google.com/citations?hl=en&amp;view_op=list_hcore&amp;venue=jv1gvzv4-LgJ.2024</v>
      </c>
      <c r="F54" s="98"/>
      <c r="G54" s="57"/>
      <c r="I54" s="60" t="str">
        <f>IFERROR(__xludf.DUMMYFUNCTION("""COMPUTED_VALUE"""),"https://dblp.org/db/conf/icmla/index.html")</f>
        <v>https://dblp.org/db/conf/icmla/index.html</v>
      </c>
    </row>
    <row r="55">
      <c r="A55" s="93" t="str">
        <f>IFERROR(__xludf.DUMMYFUNCTION("""COMPUTED_VALUE"""),"Eventos da Área")</f>
        <v>Eventos da Área</v>
      </c>
      <c r="B55" s="98" t="str">
        <f>IFERROR(__xludf.DUMMYFUNCTION("""COMPUTED_VALUE"""),"MVA")</f>
        <v>MVA</v>
      </c>
      <c r="C55" s="98" t="str">
        <f>IFERROR(__xludf.DUMMYFUNCTION("""COMPUTED_VALUE"""),"International Conference on Machine Vision Applications")</f>
        <v>International Conference on Machine Vision Applications</v>
      </c>
      <c r="D55" s="99">
        <f>IFERROR(__xludf.DUMMYFUNCTION("""COMPUTED_VALUE"""),35.0)</f>
        <v>35</v>
      </c>
      <c r="E55" s="59" t="str">
        <f>IFERROR(__xludf.DUMMYFUNCTION("""COMPUTED_VALUE"""),"https://scholar.google.com/citations?hl=en&amp;view_op=list_hcore&amp;venue=jv1gvzv4-LgJ.2024")</f>
        <v>https://scholar.google.com/citations?hl=en&amp;view_op=list_hcore&amp;venue=jv1gvzv4-LgJ.2024</v>
      </c>
      <c r="F55" s="98"/>
      <c r="G55" s="57"/>
      <c r="I55" s="60" t="str">
        <f>IFERROR(__xludf.DUMMYFUNCTION("""COMPUTED_VALUE"""),"https://dblp.org/db/conf/mva/index.html")</f>
        <v>https://dblp.org/db/conf/mva/index.html</v>
      </c>
    </row>
    <row r="56">
      <c r="A56" s="93" t="str">
        <f>IFERROR(__xludf.DUMMYFUNCTION("""COMPUTED_VALUE"""),"Eventos da Área")</f>
        <v>Eventos da Área</v>
      </c>
      <c r="B56" s="98" t="str">
        <f>IFERROR(__xludf.DUMMYFUNCTION("""COMPUTED_VALUE"""),"SMC")</f>
        <v>SMC</v>
      </c>
      <c r="C56" s="98" t="str">
        <f>IFERROR(__xludf.DUMMYFUNCTION("""COMPUTED_VALUE"""),"IEEE International Conference on Systems, Man and Cybernetics")</f>
        <v>IEEE International Conference on Systems, Man and Cybernetics</v>
      </c>
      <c r="D56" s="99">
        <f>IFERROR(__xludf.DUMMYFUNCTION("""COMPUTED_VALUE"""),35.0)</f>
        <v>35</v>
      </c>
      <c r="E56" s="59" t="str">
        <f>IFERROR(__xludf.DUMMYFUNCTION("""COMPUTED_VALUE"""),"https://scholar.google.com/citations?hl=pt-BR&amp;view_op=list_hcore&amp;venue=qJlcVei6YeoJ.2024")</f>
        <v>https://scholar.google.com/citations?hl=pt-BR&amp;view_op=list_hcore&amp;venue=qJlcVei6YeoJ.2024</v>
      </c>
      <c r="F56" s="98"/>
      <c r="G56" s="57"/>
      <c r="I56" s="60" t="str">
        <f>IFERROR(__xludf.DUMMYFUNCTION("""COMPUTED_VALUE"""),"https://dblp.org/db/conf/smc/index.html")</f>
        <v>https://dblp.org/db/conf/smc/index.html</v>
      </c>
    </row>
    <row r="57">
      <c r="A57" s="93" t="str">
        <f>IFERROR(__xludf.DUMMYFUNCTION("""COMPUTED_VALUE"""),"Eventos da Área")</f>
        <v>Eventos da Área</v>
      </c>
      <c r="B57" s="98" t="str">
        <f>IFERROR(__xludf.DUMMYFUNCTION("""COMPUTED_VALUE"""),"ICMR")</f>
        <v>ICMR</v>
      </c>
      <c r="C57" s="98" t="str">
        <f>IFERROR(__xludf.DUMMYFUNCTION("""COMPUTED_VALUE"""),"ACM International Conference on Multimedia Retrieval")</f>
        <v>ACM International Conference on Multimedia Retrieval</v>
      </c>
      <c r="D57" s="99">
        <f>IFERROR(__xludf.DUMMYFUNCTION("""COMPUTED_VALUE"""),34.0)</f>
        <v>34</v>
      </c>
      <c r="E57" s="59" t="str">
        <f>IFERROR(__xludf.DUMMYFUNCTION("""COMPUTED_VALUE"""),"https://scholar.google.com/citations?hl=en&amp;view_op=list_hcore&amp;venue=_3Q9NfFmueMJ.2024")</f>
        <v>https://scholar.google.com/citations?hl=en&amp;view_op=list_hcore&amp;venue=_3Q9NfFmueMJ.2024</v>
      </c>
      <c r="F57" s="98"/>
      <c r="G57" s="57"/>
      <c r="I57" s="60" t="str">
        <f>IFERROR(__xludf.DUMMYFUNCTION("""COMPUTED_VALUE"""),"https://dblp.org/db/conf/mir/index.html")</f>
        <v>https://dblp.org/db/conf/mir/index.html</v>
      </c>
    </row>
    <row r="58">
      <c r="A58" s="93" t="str">
        <f>IFERROR(__xludf.DUMMYFUNCTION("""COMPUTED_VALUE"""),"Eventos da Área")</f>
        <v>Eventos da Área</v>
      </c>
      <c r="B58" s="98" t="str">
        <f>IFERROR(__xludf.DUMMYFUNCTION("""COMPUTED_VALUE"""),"BTAS")</f>
        <v>BTAS</v>
      </c>
      <c r="C58" s="98" t="str">
        <f>IFERROR(__xludf.DUMMYFUNCTION("""COMPUTED_VALUE"""),"IEEE International Conference on Biometrics: Theory Applications and Systems")</f>
        <v>IEEE International Conference on Biometrics: Theory Applications and Systems</v>
      </c>
      <c r="D58" s="99">
        <f>IFERROR(__xludf.DUMMYFUNCTION("""COMPUTED_VALUE"""),32.0)</f>
        <v>32</v>
      </c>
      <c r="E58" s="59" t="str">
        <f>IFERROR(__xludf.DUMMYFUNCTION("""COMPUTED_VALUE"""),"https://scholar.google.com/citations?hl=en&amp;view_op=list_hcore&amp;venue=FetF6O7LEY8J.2024")</f>
        <v>https://scholar.google.com/citations?hl=en&amp;view_op=list_hcore&amp;venue=FetF6O7LEY8J.2024</v>
      </c>
      <c r="F58" s="98"/>
      <c r="G58" s="57"/>
      <c r="I58" s="60" t="str">
        <f>IFERROR(__xludf.DUMMYFUNCTION("""COMPUTED_VALUE"""),"https://dblp.org/db/conf/btas/index.html")</f>
        <v>https://dblp.org/db/conf/btas/index.html</v>
      </c>
    </row>
    <row r="59">
      <c r="A59" s="93" t="str">
        <f>IFERROR(__xludf.DUMMYFUNCTION("""COMPUTED_VALUE"""),"Eventos da Área")</f>
        <v>Eventos da Área</v>
      </c>
      <c r="B59" s="98" t="str">
        <f>IFERROR(__xludf.DUMMYFUNCTION("""COMPUTED_VALUE"""),"VISAPP")</f>
        <v>VISAPP</v>
      </c>
      <c r="C59" s="98" t="str">
        <f>IFERROR(__xludf.DUMMYFUNCTION("""COMPUTED_VALUE"""),"International Conference on Computer Vision Theory and Applications")</f>
        <v>International Conference on Computer Vision Theory and Applications</v>
      </c>
      <c r="D59" s="99">
        <f>IFERROR(__xludf.DUMMYFUNCTION("""COMPUTED_VALUE"""),31.0)</f>
        <v>31</v>
      </c>
      <c r="E59" s="59" t="str">
        <f>IFERROR(__xludf.DUMMYFUNCTION("""COMPUTED_VALUE"""),"https://scholar.google.com/citations?hl=en&amp;view_op=list_hcore&amp;venue=ljGmmUmHfUwJ.2024")</f>
        <v>https://scholar.google.com/citations?hl=en&amp;view_op=list_hcore&amp;venue=ljGmmUmHfUwJ.2024</v>
      </c>
      <c r="F59" s="104"/>
      <c r="G59" s="57"/>
      <c r="I59" s="60" t="str">
        <f>IFERROR(__xludf.DUMMYFUNCTION("""COMPUTED_VALUE"""),"https://dblp.org/db/conf/visapp/index.html")</f>
        <v>https://dblp.org/db/conf/visapp/index.html</v>
      </c>
    </row>
    <row r="60">
      <c r="A60" s="93" t="str">
        <f>IFERROR(__xludf.DUMMYFUNCTION("""COMPUTED_VALUE"""),"Eventos da Área")</f>
        <v>Eventos da Área</v>
      </c>
      <c r="B60" s="98" t="str">
        <f>IFERROR(__xludf.DUMMYFUNCTION("""COMPUTED_VALUE"""),"ICTAI")</f>
        <v>ICTAI</v>
      </c>
      <c r="C60" s="98" t="str">
        <f>IFERROR(__xludf.DUMMYFUNCTION("""COMPUTED_VALUE"""),"IEEE International Conference on Tools with Artificial Intelligence")</f>
        <v>IEEE International Conference on Tools with Artificial Intelligence</v>
      </c>
      <c r="D60" s="99">
        <f>IFERROR(__xludf.DUMMYFUNCTION("""COMPUTED_VALUE"""),28.0)</f>
        <v>28</v>
      </c>
      <c r="E60" s="59" t="str">
        <f>IFERROR(__xludf.DUMMYFUNCTION("""COMPUTED_VALUE"""),"https://scholar.google.com.br/citations?hl=pt-BR&amp;view_op=list_hcore&amp;venue=7SUUxQF2w2cJ.2024")</f>
        <v>https://scholar.google.com.br/citations?hl=pt-BR&amp;view_op=list_hcore&amp;venue=7SUUxQF2w2cJ.2024</v>
      </c>
      <c r="F60" s="98"/>
      <c r="G60" s="57"/>
      <c r="I60" s="60" t="str">
        <f>IFERROR(__xludf.DUMMYFUNCTION("""COMPUTED_VALUE"""),"https://dblp.org/db/conf/ictai/index.html")</f>
        <v>https://dblp.org/db/conf/ictai/index.html</v>
      </c>
    </row>
    <row r="61">
      <c r="A61" s="93" t="str">
        <f>IFERROR(__xludf.DUMMYFUNCTION("""COMPUTED_VALUE"""),"Eventos da Área")</f>
        <v>Eventos da Área</v>
      </c>
      <c r="B61" s="98" t="str">
        <f>IFERROR(__xludf.DUMMYFUNCTION("""COMPUTED_VALUE"""),"VRST")</f>
        <v>VRST</v>
      </c>
      <c r="C61" s="98" t="str">
        <f>IFERROR(__xludf.DUMMYFUNCTION("""COMPUTED_VALUE"""),"ACM Symposium on Virtual Reality Software and Technology")</f>
        <v>ACM Symposium on Virtual Reality Software and Technology</v>
      </c>
      <c r="D61" s="99">
        <f>IFERROR(__xludf.DUMMYFUNCTION("""COMPUTED_VALUE"""),26.0)</f>
        <v>26</v>
      </c>
      <c r="E61" s="59" t="str">
        <f>IFERROR(__xludf.DUMMYFUNCTION("""COMPUTED_VALUE"""),"https://scholar.google.com/citations?hl=en&amp;view_op=search_venues&amp;vq=ACM+Symposium+on+Virtual+Reality+Software+and+Technology&amp;btnG=")</f>
        <v>https://scholar.google.com/citations?hl=en&amp;view_op=search_venues&amp;vq=ACM+Symposium+on+Virtual+Reality+Software+and+Technology&amp;btnG=</v>
      </c>
      <c r="F61" s="98"/>
      <c r="G61" s="57"/>
      <c r="I61" s="60" t="str">
        <f>IFERROR(__xludf.DUMMYFUNCTION("""COMPUTED_VALUE"""),"https://dblp.org/db/conf/vrst/index.html")</f>
        <v>https://dblp.org/db/conf/vrst/index.html</v>
      </c>
    </row>
    <row r="62">
      <c r="A62" s="93" t="str">
        <f>IFERROR(__xludf.DUMMYFUNCTION("""COMPUTED_VALUE"""),"Eventos da Área")</f>
        <v>Eventos da Área</v>
      </c>
      <c r="B62" s="98" t="str">
        <f>IFERROR(__xludf.DUMMYFUNCTION("""COMPUTED_VALUE"""),"AVSS")</f>
        <v>AVSS</v>
      </c>
      <c r="C62" s="98" t="str">
        <f>IFERROR(__xludf.DUMMYFUNCTION("""COMPUTED_VALUE"""),"IEEE International Conference on Advanced Video and Signal-Based Surveillance")</f>
        <v>IEEE International Conference on Advanced Video and Signal-Based Surveillance</v>
      </c>
      <c r="D62" s="99">
        <f>IFERROR(__xludf.DUMMYFUNCTION("""COMPUTED_VALUE"""),23.0)</f>
        <v>23</v>
      </c>
      <c r="E62" s="59" t="str">
        <f>IFERROR(__xludf.DUMMYFUNCTION("""COMPUTED_VALUE"""),"https://scholar.google.com/citations?hl=en&amp;view_op=list_hcore&amp;venue=lj8GV_9F0b8J.2024")</f>
        <v>https://scholar.google.com/citations?hl=en&amp;view_op=list_hcore&amp;venue=lj8GV_9F0b8J.2024</v>
      </c>
      <c r="F62" s="98"/>
      <c r="G62" s="57"/>
      <c r="I62" s="60" t="str">
        <f>IFERROR(__xludf.DUMMYFUNCTION("""COMPUTED_VALUE"""),"https://dblp.org/db/conf/avss/index.html")</f>
        <v>https://dblp.org/db/conf/avss/index.html</v>
      </c>
    </row>
    <row r="63">
      <c r="A63" s="93" t="str">
        <f>IFERROR(__xludf.DUMMYFUNCTION("""COMPUTED_VALUE"""),"Eventos da Área")</f>
        <v>Eventos da Área</v>
      </c>
      <c r="B63" s="98" t="str">
        <f>IFERROR(__xludf.DUMMYFUNCTION("""COMPUTED_VALUE"""),"IVA")</f>
        <v>IVA</v>
      </c>
      <c r="C63" s="98" t="str">
        <f>IFERROR(__xludf.DUMMYFUNCTION("""COMPUTED_VALUE"""),"ACM INTERNATIONAL CONFERENCE ON INTELLIGENT VIRTUAL AGENTS")</f>
        <v>ACM INTERNATIONAL CONFERENCE ON INTELLIGENT VIRTUAL AGENTS</v>
      </c>
      <c r="D63" s="99">
        <f>IFERROR(__xludf.DUMMYFUNCTION("""COMPUTED_VALUE"""),23.0)</f>
        <v>23</v>
      </c>
      <c r="E63" s="59" t="str">
        <f>IFERROR(__xludf.DUMMYFUNCTION("""COMPUTED_VALUE"""),"https://scholar.google.com/citations?hl=en&amp;view_op=list_hcore&amp;venue=Zy6oN9uVoooJ.2024")</f>
        <v>https://scholar.google.com/citations?hl=en&amp;view_op=list_hcore&amp;venue=Zy6oN9uVoooJ.2024</v>
      </c>
      <c r="F63" s="98"/>
      <c r="G63" s="57"/>
      <c r="I63" s="60" t="str">
        <f>IFERROR(__xludf.DUMMYFUNCTION("""COMPUTED_VALUE"""),"https://dblp.org/db/conf/iva/index.html")</f>
        <v>https://dblp.org/db/conf/iva/index.html</v>
      </c>
    </row>
    <row r="64">
      <c r="A64" s="93" t="str">
        <f>IFERROR(__xludf.DUMMYFUNCTION("""COMPUTED_VALUE"""),"Eventos da Área")</f>
        <v>Eventos da Área</v>
      </c>
      <c r="B64" s="98" t="str">
        <f>IFERROR(__xludf.DUMMYFUNCTION("""COMPUTED_VALUE"""),"BIGMM")</f>
        <v>BIGMM</v>
      </c>
      <c r="C64" s="98" t="str">
        <f>IFERROR(__xludf.DUMMYFUNCTION("""COMPUTED_VALUE"""),"IEEE International Conference on Multimedia Big Data")</f>
        <v>IEEE International Conference on Multimedia Big Data</v>
      </c>
      <c r="D64" s="99">
        <f>IFERROR(__xludf.DUMMYFUNCTION("""COMPUTED_VALUE"""),22.0)</f>
        <v>22</v>
      </c>
      <c r="E64" s="59" t="str">
        <f>IFERROR(__xludf.DUMMYFUNCTION("""COMPUTED_VALUE"""),"https://scholar.google.com/citations?hl=pt-BR&amp;view_op=list_hcore&amp;venue=et6XnSIzrWkJ.2024")</f>
        <v>https://scholar.google.com/citations?hl=pt-BR&amp;view_op=list_hcore&amp;venue=et6XnSIzrWkJ.2024</v>
      </c>
      <c r="F64" s="98"/>
      <c r="G64" s="57"/>
      <c r="I64" s="60" t="str">
        <f>IFERROR(__xludf.DUMMYFUNCTION("""COMPUTED_VALUE"""),"https://dblp.org/db/conf/bigmm/index.html")</f>
        <v>https://dblp.org/db/conf/bigmm/index.html</v>
      </c>
    </row>
    <row r="65">
      <c r="A65" s="93" t="str">
        <f>IFERROR(__xludf.DUMMYFUNCTION("""COMPUTED_VALUE"""),"Eventos da Área")</f>
        <v>Eventos da Área</v>
      </c>
      <c r="B65" s="98" t="str">
        <f>IFERROR(__xludf.DUMMYFUNCTION("""COMPUTED_VALUE"""),"WIFS")</f>
        <v>WIFS</v>
      </c>
      <c r="C65" s="98" t="str">
        <f>IFERROR(__xludf.DUMMYFUNCTION("""COMPUTED_VALUE"""),"IEEE International Workshop on Information Forensics and Security")</f>
        <v>IEEE International Workshop on Information Forensics and Security</v>
      </c>
      <c r="D65" s="99">
        <f>IFERROR(__xludf.DUMMYFUNCTION("""COMPUTED_VALUE"""),21.0)</f>
        <v>21</v>
      </c>
      <c r="E65" s="59" t="str">
        <f>IFERROR(__xludf.DUMMYFUNCTION("""COMPUTED_VALUE"""),"https://scholar.google.com.br/citations?hl=pt-BR&amp;view_op=list_hcore&amp;venue=mvVvdS_cvHIJ.2024")</f>
        <v>https://scholar.google.com.br/citations?hl=pt-BR&amp;view_op=list_hcore&amp;venue=mvVvdS_cvHIJ.2024</v>
      </c>
      <c r="F65" s="98"/>
      <c r="G65" s="57"/>
      <c r="I65" s="60" t="str">
        <f>IFERROR(__xludf.DUMMYFUNCTION("""COMPUTED_VALUE"""),"https://dblp.org/db/conf/wifs/index.html")</f>
        <v>https://dblp.org/db/conf/wifs/index.html</v>
      </c>
    </row>
    <row r="66">
      <c r="A66" s="93" t="str">
        <f>IFERROR(__xludf.DUMMYFUNCTION("""COMPUTED_VALUE"""),"Eventos da Área")</f>
        <v>Eventos da Área</v>
      </c>
      <c r="B66" s="98" t="str">
        <f>IFERROR(__xludf.DUMMYFUNCTION("""COMPUTED_VALUE"""),"SPIE Conferences")</f>
        <v>SPIE Conferences</v>
      </c>
      <c r="C66" s="98" t="str">
        <f>IFERROR(__xludf.DUMMYFUNCTION("""COMPUTED_VALUE"""),"Proceedings of Spie--the International Society for Optical Engineering")</f>
        <v>Proceedings of Spie--the International Society for Optical Engineering</v>
      </c>
      <c r="D66" s="99">
        <f>IFERROR(__xludf.DUMMYFUNCTION("""COMPUTED_VALUE"""),21.0)</f>
        <v>21</v>
      </c>
      <c r="E66" s="59" t="str">
        <f>IFERROR(__xludf.DUMMYFUNCTION("""COMPUTED_VALUE"""),"https://scholar.google.com/citations?hl=en&amp;view_op=list_hcore&amp;venue=NKnvW5mBMQcJ.2024")</f>
        <v>https://scholar.google.com/citations?hl=en&amp;view_op=list_hcore&amp;venue=NKnvW5mBMQcJ.2024</v>
      </c>
      <c r="F66" s="98"/>
      <c r="G66" s="57"/>
    </row>
    <row r="67">
      <c r="A67" s="93" t="str">
        <f>IFERROR(__xludf.DUMMYFUNCTION("""COMPUTED_VALUE"""),"Eventos da Área")</f>
        <v>Eventos da Área</v>
      </c>
      <c r="B67" s="98" t="str">
        <f>IFERROR(__xludf.DUMMYFUNCTION("""COMPUTED_VALUE"""),"DICTA")</f>
        <v>DICTA</v>
      </c>
      <c r="C67" s="98" t="str">
        <f>IFERROR(__xludf.DUMMYFUNCTION("""COMPUTED_VALUE"""),"International Conference on Digital Image Computing Techniques and Applications")</f>
        <v>International Conference on Digital Image Computing Techniques and Applications</v>
      </c>
      <c r="D67" s="98">
        <f>IFERROR(__xludf.DUMMYFUNCTION("""COMPUTED_VALUE"""),20.0)</f>
        <v>20</v>
      </c>
      <c r="E67" s="59" t="str">
        <f>IFERROR(__xludf.DUMMYFUNCTION("""COMPUTED_VALUE"""),"https://scholar.google.com.br/citations?hl=pt-BR&amp;view_op=list_hcore&amp;venue=d1tCC6BVFa8J.2024")</f>
        <v>https://scholar.google.com.br/citations?hl=pt-BR&amp;view_op=list_hcore&amp;venue=d1tCC6BVFa8J.2024</v>
      </c>
      <c r="F67" s="98"/>
      <c r="G67" s="57"/>
      <c r="I67" s="60" t="str">
        <f>IFERROR(__xludf.DUMMYFUNCTION("""COMPUTED_VALUE"""),"https://dblp.org/db/conf/dicta/index.html")</f>
        <v>https://dblp.org/db/conf/dicta/index.html</v>
      </c>
    </row>
    <row r="68">
      <c r="A68" s="93" t="str">
        <f>IFERROR(__xludf.DUMMYFUNCTION("""COMPUTED_VALUE"""),"Eventos da Área")</f>
        <v>Eventos da Área</v>
      </c>
      <c r="B68" s="98" t="str">
        <f>IFERROR(__xludf.DUMMYFUNCTION("""COMPUTED_VALUE"""),"ESANN")</f>
        <v>ESANN</v>
      </c>
      <c r="C68" s="98" t="str">
        <f>IFERROR(__xludf.DUMMYFUNCTION("""COMPUTED_VALUE"""),"European Symposium on Artificial Neural Networks")</f>
        <v>European Symposium on Artificial Neural Networks</v>
      </c>
      <c r="D68" s="99">
        <f>IFERROR(__xludf.DUMMYFUNCTION("""COMPUTED_VALUE"""),18.0)</f>
        <v>18</v>
      </c>
      <c r="E68" s="59" t="str">
        <f>IFERROR(__xludf.DUMMYFUNCTION("""COMPUTED_VALUE"""),"https://scholar.google.com/citations?hl=en&amp;view_op=list_hcore&amp;venue=G2W6LcMuSNwJ.2024")</f>
        <v>https://scholar.google.com/citations?hl=en&amp;view_op=list_hcore&amp;venue=G2W6LcMuSNwJ.2024</v>
      </c>
      <c r="F68" s="98"/>
      <c r="G68" s="57"/>
      <c r="I68" s="60" t="str">
        <f>IFERROR(__xludf.DUMMYFUNCTION("""COMPUTED_VALUE"""),"https://dblp.org/db/conf/esann/index.html")</f>
        <v>https://dblp.org/db/conf/esann/index.html</v>
      </c>
    </row>
    <row r="69">
      <c r="A69" s="93" t="str">
        <f>IFERROR(__xludf.DUMMYFUNCTION("""COMPUTED_VALUE"""),"Eventos da Área")</f>
        <v>Eventos da Área</v>
      </c>
      <c r="B69" s="98" t="str">
        <f>IFERROR(__xludf.DUMMYFUNCTION("""COMPUTED_VALUE"""),"ISVC")</f>
        <v>ISVC</v>
      </c>
      <c r="C69" s="98" t="str">
        <f>IFERROR(__xludf.DUMMYFUNCTION("""COMPUTED_VALUE"""),"International Symposium on Visual Computing")</f>
        <v>International Symposium on Visual Computing</v>
      </c>
      <c r="D69" s="99">
        <f>IFERROR(__xludf.DUMMYFUNCTION("""COMPUTED_VALUE"""),18.0)</f>
        <v>18</v>
      </c>
      <c r="E69" s="59" t="str">
        <f>IFERROR(__xludf.DUMMYFUNCTION("""COMPUTED_VALUE"""),"https://scholar.google.com/citations?hl=en&amp;view_op=list_hcore&amp;venue=gkPBkimMWRYJ.2024")</f>
        <v>https://scholar.google.com/citations?hl=en&amp;view_op=list_hcore&amp;venue=gkPBkimMWRYJ.2024</v>
      </c>
      <c r="F69" s="98"/>
      <c r="G69" s="57"/>
      <c r="I69" s="60" t="str">
        <f>IFERROR(__xludf.DUMMYFUNCTION("""COMPUTED_VALUE"""),"https://dblp.org/db/conf/isvc/index.html")</f>
        <v>https://dblp.org/db/conf/isvc/index.html</v>
      </c>
    </row>
    <row r="70">
      <c r="A70" s="93" t="str">
        <f>IFERROR(__xludf.DUMMYFUNCTION("""COMPUTED_VALUE"""),"Eventos da Área")</f>
        <v>Eventos da Área</v>
      </c>
      <c r="B70" s="98" t="str">
        <f>IFERROR(__xludf.DUMMYFUNCTION("""COMPUTED_VALUE"""),"IRMMW-THZ")</f>
        <v>IRMMW-THZ</v>
      </c>
      <c r="C70" s="98" t="str">
        <f>IFERROR(__xludf.DUMMYFUNCTION("""COMPUTED_VALUE"""),"International Conference on Infrared, Millimeter and Terahertz Waves")</f>
        <v>International Conference on Infrared, Millimeter and Terahertz Waves</v>
      </c>
      <c r="D70" s="99">
        <f>IFERROR(__xludf.DUMMYFUNCTION("""COMPUTED_VALUE"""),18.0)</f>
        <v>18</v>
      </c>
      <c r="E70" s="59" t="str">
        <f>IFERROR(__xludf.DUMMYFUNCTION("""COMPUTED_VALUE"""),"https://scholar.google.com/citations?hl=en&amp;view_op=list_hcore&amp;venue=yfyE0T8aCnwJ.2024")</f>
        <v>https://scholar.google.com/citations?hl=en&amp;view_op=list_hcore&amp;venue=yfyE0T8aCnwJ.2024</v>
      </c>
      <c r="F70" s="98"/>
      <c r="G70" s="57"/>
    </row>
    <row r="71">
      <c r="A71" s="93" t="str">
        <f>IFERROR(__xludf.DUMMYFUNCTION("""COMPUTED_VALUE"""),"Eventos da Área")</f>
        <v>Eventos da Área</v>
      </c>
      <c r="B71" s="98" t="str">
        <f>IFERROR(__xludf.DUMMYFUNCTION("""COMPUTED_VALUE"""),"IEEE IST")</f>
        <v>IEEE IST</v>
      </c>
      <c r="C71" s="98" t="str">
        <f>IFERROR(__xludf.DUMMYFUNCTION("""COMPUTED_VALUE"""),"IEEE International Workshop on Imaging Systems and Techniques")</f>
        <v>IEEE International Workshop on Imaging Systems and Techniques</v>
      </c>
      <c r="D71" s="99">
        <f>IFERROR(__xludf.DUMMYFUNCTION("""COMPUTED_VALUE"""),17.0)</f>
        <v>17</v>
      </c>
      <c r="E71" s="59" t="str">
        <f>IFERROR(__xludf.DUMMYFUNCTION("""COMPUTED_VALUE"""),"https://scholar.google.com/citations?hl=en&amp;view_op=list_hcore&amp;venue=Q_PhJS0hr7sJ.2024")</f>
        <v>https://scholar.google.com/citations?hl=en&amp;view_op=list_hcore&amp;venue=Q_PhJS0hr7sJ.2024</v>
      </c>
      <c r="F71" s="98"/>
      <c r="G71" s="57"/>
      <c r="I71" s="60" t="str">
        <f>IFERROR(__xludf.DUMMYFUNCTION("""COMPUTED_VALUE"""),"https://dblp.org/db/conf/ist/index.html")</f>
        <v>https://dblp.org/db/conf/ist/index.html</v>
      </c>
    </row>
    <row r="72">
      <c r="A72" s="93" t="str">
        <f>IFERROR(__xludf.DUMMYFUNCTION("""COMPUTED_VALUE"""),"Eventos da Área")</f>
        <v>Eventos da Área</v>
      </c>
      <c r="B72" s="98" t="str">
        <f>IFERROR(__xludf.DUMMYFUNCTION("""COMPUTED_VALUE"""),"MIG")</f>
        <v>MIG</v>
      </c>
      <c r="C72" s="98" t="str">
        <f>IFERROR(__xludf.DUMMYFUNCTION("""COMPUTED_VALUE"""),"ACM Siggraph Conference on Motion in Games")</f>
        <v>ACM Siggraph Conference on Motion in Games</v>
      </c>
      <c r="D72" s="98">
        <f>IFERROR(__xludf.DUMMYFUNCTION("""COMPUTED_VALUE"""),17.0)</f>
        <v>17</v>
      </c>
      <c r="E72" s="59" t="str">
        <f>IFERROR(__xludf.DUMMYFUNCTION("""COMPUTED_VALUE"""),"https://scholar.google.com/citations?hl=pt-BR&amp;view_op=list_hcore&amp;venue=hz1-DUbSgGcJ.2024")</f>
        <v>https://scholar.google.com/citations?hl=pt-BR&amp;view_op=list_hcore&amp;venue=hz1-DUbSgGcJ.2024</v>
      </c>
      <c r="F72" s="98"/>
      <c r="G72" s="57"/>
      <c r="I72" s="60" t="str">
        <f>IFERROR(__xludf.DUMMYFUNCTION("""COMPUTED_VALUE"""),"https://dblp.org/db/conf/mig/index.html")</f>
        <v>https://dblp.org/db/conf/mig/index.html</v>
      </c>
    </row>
    <row r="73">
      <c r="A73" s="35" t="str">
        <f>IFERROR(__xludf.DUMMYFUNCTION("""COMPUTED_VALUE"""),"Eventos da Área")</f>
        <v>Eventos da Área</v>
      </c>
      <c r="B73" t="str">
        <f>IFERROR(__xludf.DUMMYFUNCTION("""COMPUTED_VALUE"""),"CASA")</f>
        <v>CASA</v>
      </c>
      <c r="C73" t="str">
        <f>IFERROR(__xludf.DUMMYFUNCTION("""COMPUTED_VALUE"""),"Conference on Computer Animation and Social Agents")</f>
        <v>Conference on Computer Animation and Social Agents</v>
      </c>
      <c r="D73">
        <f>IFERROR(__xludf.DUMMYFUNCTION("""COMPUTED_VALUE"""),17.0)</f>
        <v>17</v>
      </c>
      <c r="E73" s="59" t="str">
        <f>IFERROR(__xludf.DUMMYFUNCTION("""COMPUTED_VALUE"""),"https://scholar.google.com.br/citations?hl=pt-BR&amp;view_op=search_venues&amp;vq=%22computer+Animation+and+virtual%22&amp;btnG=")</f>
        <v>https://scholar.google.com.br/citations?hl=pt-BR&amp;view_op=search_venues&amp;vq=%22computer+Animation+and+virtual%22&amp;btnG=</v>
      </c>
      <c r="I73" s="60" t="str">
        <f>IFERROR(__xludf.DUMMYFUNCTION("""COMPUTED_VALUE"""),"https://dblp.org/db/conf/ca/index.html")</f>
        <v>https://dblp.org/db/conf/ca/index.html</v>
      </c>
    </row>
    <row r="74">
      <c r="A74" s="35" t="str">
        <f>IFERROR(__xludf.DUMMYFUNCTION("""COMPUTED_VALUE"""),"Eventos da Área")</f>
        <v>Eventos da Área</v>
      </c>
      <c r="B74" t="str">
        <f>IFERROR(__xludf.DUMMYFUNCTION("""COMPUTED_VALUE"""),"WHISPERS")</f>
        <v>WHISPERS</v>
      </c>
      <c r="C74" s="35" t="str">
        <f>IFERROR(__xludf.DUMMYFUNCTION("""COMPUTED_VALUE"""),"Workshop on Hyperspectral Imaging and Signal Processing: Evolution in Remote Sensing")</f>
        <v>Workshop on Hyperspectral Imaging and Signal Processing: Evolution in Remote Sensing</v>
      </c>
      <c r="D74">
        <f>IFERROR(__xludf.DUMMYFUNCTION("""COMPUTED_VALUE"""),17.0)</f>
        <v>17</v>
      </c>
      <c r="E74" s="59" t="str">
        <f>IFERROR(__xludf.DUMMYFUNCTION("""COMPUTED_VALUE"""),"https://scholar.google.com/citations?hl=en&amp;view_op=list_hcore&amp;venue=b0D8OCdsIgcJ.2024")</f>
        <v>https://scholar.google.com/citations?hl=en&amp;view_op=list_hcore&amp;venue=b0D8OCdsIgcJ.2024</v>
      </c>
      <c r="I74" s="60" t="str">
        <f>IFERROR(__xludf.DUMMYFUNCTION("""COMPUTED_VALUE"""),"https://dblp.org/db/conf/whispers/index.html")</f>
        <v>https://dblp.org/db/conf/whispers/index.html</v>
      </c>
    </row>
    <row r="75">
      <c r="A75" s="35" t="str">
        <f>IFERROR(__xludf.DUMMYFUNCTION("""COMPUTED_VALUE"""),"Eventos da Área")</f>
        <v>Eventos da Área</v>
      </c>
      <c r="B75" t="str">
        <f>IFERROR(__xludf.DUMMYFUNCTION("""COMPUTED_VALUE"""),"ISM")</f>
        <v>ISM</v>
      </c>
      <c r="C75" s="98" t="str">
        <f>IFERROR(__xludf.DUMMYFUNCTION("""COMPUTED_VALUE"""),"IEEE International Symposium on Multimedia")</f>
        <v>IEEE International Symposium on Multimedia</v>
      </c>
      <c r="D75">
        <f>IFERROR(__xludf.DUMMYFUNCTION("""COMPUTED_VALUE"""),16.0)</f>
        <v>16</v>
      </c>
      <c r="E75" s="59" t="str">
        <f>IFERROR(__xludf.DUMMYFUNCTION("""COMPUTED_VALUE"""),"https://scholar.google.com/scholar?hl=pt-BR&amp;as_sdt=0%2C5&amp;as_ylo=2019&amp;q=source%3Ainternational+source%3Asymposium+source%3Amultimedia&amp;btnG=")</f>
        <v>https://scholar.google.com/scholar?hl=pt-BR&amp;as_sdt=0%2C5&amp;as_ylo=2019&amp;q=source%3Ainternational+source%3Asymposium+source%3Amultimedia&amp;btnG=</v>
      </c>
      <c r="I75" s="60" t="str">
        <f>IFERROR(__xludf.DUMMYFUNCTION("""COMPUTED_VALUE"""),"https://dblp.org/db/conf/ism/index.html")</f>
        <v>https://dblp.org/db/conf/ism/index.html</v>
      </c>
    </row>
    <row r="76">
      <c r="A76" s="35" t="str">
        <f>IFERROR(__xludf.DUMMYFUNCTION("""COMPUTED_VALUE"""),"Eventos da Área")</f>
        <v>Eventos da Área</v>
      </c>
      <c r="B76" t="str">
        <f>IFERROR(__xludf.DUMMYFUNCTION("""COMPUTED_VALUE"""),"CBMI")</f>
        <v>CBMI</v>
      </c>
      <c r="C76" s="98" t="str">
        <f>IFERROR(__xludf.DUMMYFUNCTION("""COMPUTED_VALUE"""),"International Workshop on Content-Based Multimedia Indexing")</f>
        <v>International Workshop on Content-Based Multimedia Indexing</v>
      </c>
      <c r="D76">
        <f>IFERROR(__xludf.DUMMYFUNCTION("""COMPUTED_VALUE"""),15.0)</f>
        <v>15</v>
      </c>
      <c r="E76" s="59" t="str">
        <f>IFERROR(__xludf.DUMMYFUNCTION("""COMPUTED_VALUE"""),"https://scholar.google.com/citations?hl=en&amp;view_op=list_hcore&amp;venue=nZ1bm2kqGmUJ.2024")</f>
        <v>https://scholar.google.com/citations?hl=en&amp;view_op=list_hcore&amp;venue=nZ1bm2kqGmUJ.2024</v>
      </c>
      <c r="I76" s="60" t="str">
        <f>IFERROR(__xludf.DUMMYFUNCTION("""COMPUTED_VALUE"""),"https://dblp.org/db/conf/cbmi/index.html")</f>
        <v>https://dblp.org/db/conf/cbmi/index.html</v>
      </c>
    </row>
    <row r="77">
      <c r="A77" s="35" t="str">
        <f>IFERROR(__xludf.DUMMYFUNCTION("""COMPUTED_VALUE"""),"Eventos da Área")</f>
        <v>Eventos da Área</v>
      </c>
      <c r="B77" t="str">
        <f>IFERROR(__xludf.DUMMYFUNCTION("""COMPUTED_VALUE"""),"ESGSR")</f>
        <v>ESGSR</v>
      </c>
      <c r="C77" t="str">
        <f>IFERROR(__xludf.DUMMYFUNCTION("""COMPUTED_VALUE"""),"Eurographics Symposium on Rendering")</f>
        <v>Eurographics Symposium on Rendering</v>
      </c>
      <c r="D77">
        <f>IFERROR(__xludf.DUMMYFUNCTION("""COMPUTED_VALUE"""),15.0)</f>
        <v>15</v>
      </c>
      <c r="E77" s="59" t="str">
        <f>IFERROR(__xludf.DUMMYFUNCTION("""COMPUTED_VALUE"""),"https://scholar.google.com/scholar?hl=pt-BR&amp;as_sdt=0%2C5&amp;as_ylo=2019&amp;q=Eurographics+Symposium+on+Rendering&amp;btnG=2024")</f>
        <v>https://scholar.google.com/scholar?hl=pt-BR&amp;as_sdt=0%2C5&amp;as_ylo=2019&amp;q=Eurographics+Symposium+on+Rendering&amp;btnG=2024</v>
      </c>
      <c r="I77" s="60" t="str">
        <f>IFERROR(__xludf.DUMMYFUNCTION("""COMPUTED_VALUE"""),"https://dblp.org/db/conf/rt/index.html")</f>
        <v>https://dblp.org/db/conf/rt/index.html</v>
      </c>
    </row>
    <row r="78">
      <c r="A78" s="35" t="str">
        <f>IFERROR(__xludf.DUMMYFUNCTION("""COMPUTED_VALUE"""),"Eventos da Área")</f>
        <v>Eventos da Área</v>
      </c>
      <c r="B78" t="str">
        <f>IFERROR(__xludf.DUMMYFUNCTION("""COMPUTED_VALUE"""),"SBR")</f>
        <v>SBR</v>
      </c>
      <c r="C78" s="105" t="str">
        <f>IFERROR(__xludf.DUMMYFUNCTION("""COMPUTED_VALUE"""),"Brazilian Symposium on Robotics")</f>
        <v>Brazilian Symposium on Robotics</v>
      </c>
      <c r="D78">
        <f>IFERROR(__xludf.DUMMYFUNCTION("""COMPUTED_VALUE"""),14.0)</f>
        <v>14</v>
      </c>
      <c r="E78" s="59" t="str">
        <f>IFERROR(__xludf.DUMMYFUNCTION("""COMPUTED_VALUE"""),"https://scholar.google.com/scholar?hl=pt-BR&amp;as_sdt=0%2C5&amp;as_ylo=2019&amp;q=source%3ABrazilian+source%3ASymposium+source%3Aon+source%3ARobotics&amp;btnG=2024")</f>
        <v>https://scholar.google.com/scholar?hl=pt-BR&amp;as_sdt=0%2C5&amp;as_ylo=2019&amp;q=source%3ABrazilian+source%3ASymposium+source%3Aon+source%3ARobotics&amp;btnG=2024</v>
      </c>
    </row>
    <row r="79">
      <c r="A79" s="35" t="str">
        <f>IFERROR(__xludf.DUMMYFUNCTION("""COMPUTED_VALUE"""),"Eventos da Área")</f>
        <v>Eventos da Área</v>
      </c>
      <c r="B79" t="str">
        <f>IFERROR(__xludf.DUMMYFUNCTION("""COMPUTED_VALUE"""),"LARS")</f>
        <v>LARS</v>
      </c>
      <c r="C79" s="106" t="str">
        <f>IFERROR(__xludf.DUMMYFUNCTION("""COMPUTED_VALUE"""),"Latin American Robotics Symposium")</f>
        <v>Latin American Robotics Symposium</v>
      </c>
      <c r="D79">
        <f>IFERROR(__xludf.DUMMYFUNCTION("""COMPUTED_VALUE"""),14.0)</f>
        <v>14</v>
      </c>
      <c r="E79" s="59" t="str">
        <f>IFERROR(__xludf.DUMMYFUNCTION("""COMPUTED_VALUE"""),"https://scholar.google.com/scholar?hl=pt-BR&amp;as_sdt=0%2C5&amp;as_ylo=2019&amp;as_yhi=2024&amp;as_vis=1&amp;q=source%3ALatin+source%3AAmerican+source%3ARobotics+source%3ASymposium&amp;btnG=2024")</f>
        <v>https://scholar.google.com/scholar?hl=pt-BR&amp;as_sdt=0%2C5&amp;as_ylo=2019&amp;as_yhi=2024&amp;as_vis=1&amp;q=source%3ALatin+source%3AAmerican+source%3ARobotics+source%3ASymposium&amp;btnG=2024</v>
      </c>
      <c r="I79" s="60" t="str">
        <f>IFERROR(__xludf.DUMMYFUNCTION("""COMPUTED_VALUE"""),"https://dblp.org/db/conf/larc/index.html")</f>
        <v>https://dblp.org/db/conf/larc/index.html</v>
      </c>
    </row>
    <row r="80">
      <c r="A80" s="35" t="str">
        <f>IFERROR(__xludf.DUMMYFUNCTION("""COMPUTED_VALUE"""),"Eventos da Área")</f>
        <v>Eventos da Área</v>
      </c>
      <c r="B80" t="str">
        <f>IFERROR(__xludf.DUMMYFUNCTION("""COMPUTED_VALUE"""),"FIMH")</f>
        <v>FIMH</v>
      </c>
      <c r="C80" s="105" t="str">
        <f>IFERROR(__xludf.DUMMYFUNCTION("""COMPUTED_VALUE"""),"Functional Imaging and Modeling of the Heart")</f>
        <v>Functional Imaging and Modeling of the Heart</v>
      </c>
      <c r="D80">
        <f>IFERROR(__xludf.DUMMYFUNCTION("""COMPUTED_VALUE"""),13.0)</f>
        <v>13</v>
      </c>
      <c r="E80" s="59" t="str">
        <f>IFERROR(__xludf.DUMMYFUNCTION("""COMPUTED_VALUE"""),"https://scholar.google.com/citations?hl=en&amp;view_op=list_hcore&amp;venue=eU_EdGdJ0VwJ.2024")</f>
        <v>https://scholar.google.com/citations?hl=en&amp;view_op=list_hcore&amp;venue=eU_EdGdJ0VwJ.2024</v>
      </c>
      <c r="I80" s="60" t="str">
        <f>IFERROR(__xludf.DUMMYFUNCTION("""COMPUTED_VALUE"""),"https://dblp.org/db/conf/fimh/index.html")</f>
        <v>https://dblp.org/db/conf/fimh/index.html</v>
      </c>
    </row>
    <row r="81">
      <c r="A81" s="35" t="str">
        <f>IFERROR(__xludf.DUMMYFUNCTION("""COMPUTED_VALUE"""),"Eventos da Área")</f>
        <v>Eventos da Área</v>
      </c>
      <c r="B81" t="str">
        <f>IFERROR(__xludf.DUMMYFUNCTION("""COMPUTED_VALUE"""),"ICDIP")</f>
        <v>ICDIP</v>
      </c>
      <c r="C81" s="106" t="str">
        <f>IFERROR(__xludf.DUMMYFUNCTION("""COMPUTED_VALUE"""),"International Conference on Digital Image Processing")</f>
        <v>International Conference on Digital Image Processing</v>
      </c>
      <c r="D81">
        <f>IFERROR(__xludf.DUMMYFUNCTION("""COMPUTED_VALUE"""),11.0)</f>
        <v>11</v>
      </c>
      <c r="E81" s="59" t="str">
        <f>IFERROR(__xludf.DUMMYFUNCTION("""COMPUTED_VALUE"""),"https://scholar.google.com/citations?hl=en&amp;view_op=list_hcore&amp;venue=Zv1cF-tcqjsJ.2024")</f>
        <v>https://scholar.google.com/citations?hl=en&amp;view_op=list_hcore&amp;venue=Zv1cF-tcqjsJ.2024</v>
      </c>
      <c r="I81" s="60" t="str">
        <f>IFERROR(__xludf.DUMMYFUNCTION("""COMPUTED_VALUE"""),"https://dblp.org/db/conf/icdip/index.html")</f>
        <v>https://dblp.org/db/conf/icdip/index.html</v>
      </c>
    </row>
    <row r="82">
      <c r="A82" s="35" t="str">
        <f>IFERROR(__xludf.DUMMYFUNCTION("""COMPUTED_VALUE"""),"Eventos da Área")</f>
        <v>Eventos da Área</v>
      </c>
      <c r="B82" t="str">
        <f>IFERROR(__xludf.DUMMYFUNCTION("""COMPUTED_VALUE"""),"SIPAIM")</f>
        <v>SIPAIM</v>
      </c>
      <c r="C82" t="str">
        <f>IFERROR(__xludf.DUMMYFUNCTION("""COMPUTED_VALUE"""),"International Symposium on Medical Information Processing and Analysis")</f>
        <v>International Symposium on Medical Information Processing and Analysis</v>
      </c>
      <c r="D82">
        <f>IFERROR(__xludf.DUMMYFUNCTION("""COMPUTED_VALUE"""),11.0)</f>
        <v>11</v>
      </c>
      <c r="E82" s="59" t="str">
        <f>IFERROR(__xludf.DUMMYFUNCTION("""COMPUTED_VALUE"""),"https://scholar.google.com/citations?hl=en&amp;view_op=list_hcore&amp;venue=fY1OH_qEjxwJ.2024")</f>
        <v>https://scholar.google.com/citations?hl=en&amp;view_op=list_hcore&amp;venue=fY1OH_qEjxwJ.2024</v>
      </c>
      <c r="I82" s="60" t="str">
        <f>IFERROR(__xludf.DUMMYFUNCTION("""COMPUTED_VALUE"""),"https://dblp.org/db/conf/sipaim/index.html")</f>
        <v>https://dblp.org/db/conf/sipaim/index.html</v>
      </c>
    </row>
    <row r="83">
      <c r="A83" s="35" t="str">
        <f>IFERROR(__xludf.DUMMYFUNCTION("""COMPUTED_VALUE"""),"Eventos da Área")</f>
        <v>Eventos da Área</v>
      </c>
      <c r="B83" t="str">
        <f>IFERROR(__xludf.DUMMYFUNCTION("""COMPUTED_VALUE"""),"ACIVS")</f>
        <v>ACIVS</v>
      </c>
      <c r="C83" t="str">
        <f>IFERROR(__xludf.DUMMYFUNCTION("""COMPUTED_VALUE"""),"Advanced Concepts for Intelligent Vision Systems")</f>
        <v>Advanced Concepts for Intelligent Vision Systems</v>
      </c>
      <c r="D83">
        <f>IFERROR(__xludf.DUMMYFUNCTION("""COMPUTED_VALUE"""),6.0)</f>
        <v>6</v>
      </c>
      <c r="E83" s="59" t="str">
        <f>IFERROR(__xludf.DUMMYFUNCTION("""COMPUTED_VALUE"""),"https://scholar.google.com/scholar?hl=pt-BR&amp;as_sdt=0%2C5&amp;as_ylo=2019&amp;q=source%3A+Advanced+source%3AConcepts+source%3AIntelligent+source%3AVision+source%3ASystems&amp;btnG=")</f>
        <v>https://scholar.google.com/scholar?hl=pt-BR&amp;as_sdt=0%2C5&amp;as_ylo=2019&amp;q=source%3A+Advanced+source%3AConcepts+source%3AIntelligent+source%3AVision+source%3ASystems&amp;btnG=</v>
      </c>
      <c r="I83" s="60" t="str">
        <f>IFERROR(__xludf.DUMMYFUNCTION("""COMPUTED_VALUE"""),"https://dblp.org/db/conf/acivs/index.html")</f>
        <v>https://dblp.org/db/conf/acivs/index.html</v>
      </c>
    </row>
    <row r="84">
      <c r="A84" s="35" t="str">
        <f>IFERROR(__xludf.DUMMYFUNCTION("""COMPUTED_VALUE"""),"Eventos da Área")</f>
        <v>Eventos da Área</v>
      </c>
      <c r="B84" t="str">
        <f>IFERROR(__xludf.DUMMYFUNCTION("""COMPUTED_VALUE"""),"CGVCVIP")</f>
        <v>CGVCVIP</v>
      </c>
      <c r="C84" t="str">
        <f>IFERROR(__xludf.DUMMYFUNCTION("""COMPUTED_VALUE"""),"International Conference on Computer Graphics, Visualization, Computer Vision and Image Processing")</f>
        <v>International Conference on Computer Graphics, Visualization, Computer Vision and Image Processing</v>
      </c>
      <c r="D84">
        <f>IFERROR(__xludf.DUMMYFUNCTION("""COMPUTED_VALUE"""),6.0)</f>
        <v>6</v>
      </c>
      <c r="E84" s="59" t="str">
        <f>IFERROR(__xludf.DUMMYFUNCTION("""COMPUTED_VALUE"""),"https://scholar.google.com/scholar?hl=pt-BR&amp;as_sdt=0%2C5&amp;as_ylo=2018&amp;q=source%3AInternational+source%3AConference+source%3AComputer+source%3AGraphics+source%3AVisualization+source%3AComputer+source%3AVision+source%3AImage+source%3AProcessing&amp;btnG=")</f>
        <v>https://scholar.google.com/scholar?hl=pt-BR&amp;as_sdt=0%2C5&amp;as_ylo=2018&amp;q=source%3AInternational+source%3AConference+source%3AComputer+source%3AGraphics+source%3AVisualization+source%3AComputer+source%3AVision+source%3AImage+source%3AProcessing&amp;btnG=</v>
      </c>
    </row>
    <row r="85">
      <c r="A85" s="35" t="str">
        <f>IFERROR(__xludf.DUMMYFUNCTION("""COMPUTED_VALUE"""),"Eventos da Área")</f>
        <v>Eventos da Área</v>
      </c>
      <c r="B85" t="str">
        <f>IFERROR(__xludf.DUMMYFUNCTION("""COMPUTED_VALUE"""),"MLDM")</f>
        <v>MLDM</v>
      </c>
      <c r="C85" t="str">
        <f>IFERROR(__xludf.DUMMYFUNCTION("""COMPUTED_VALUE"""),"Machine Learning and Data Mining in Pattern Recognition")</f>
        <v>Machine Learning and Data Mining in Pattern Recognition</v>
      </c>
      <c r="E85" s="59" t="str">
        <f>IFERROR(__xludf.DUMMYFUNCTION("""COMPUTED_VALUE"""),"")</f>
        <v/>
      </c>
      <c r="I85" s="60" t="str">
        <f>IFERROR(__xludf.DUMMYFUNCTION("""COMPUTED_VALUE"""),"https://dblp.org/db/conf/mldm/index.html")</f>
        <v>https://dblp.org/db/conf/mldm/index.html</v>
      </c>
    </row>
    <row r="86">
      <c r="A86" s="35" t="str">
        <f>IFERROR(__xludf.DUMMYFUNCTION("""COMPUTED_VALUE"""),"Eventos da Área")</f>
        <v>Eventos da Área</v>
      </c>
      <c r="B86" t="str">
        <f>IFERROR(__xludf.DUMMYFUNCTION("""COMPUTED_VALUE"""),"GI")</f>
        <v>GI</v>
      </c>
      <c r="C86" t="str">
        <f>IFERROR(__xludf.DUMMYFUNCTION("""COMPUTED_VALUE"""),"Graphics Interface")</f>
        <v>Graphics Interface</v>
      </c>
      <c r="E86" s="59" t="str">
        <f>IFERROR(__xludf.DUMMYFUNCTION("""COMPUTED_VALUE"""),"")</f>
        <v/>
      </c>
      <c r="I86" s="60" t="str">
        <f>IFERROR(__xludf.DUMMYFUNCTION("""COMPUTED_VALUE"""),"https://dblp.org/db/conf/graphicsinterface/index.html")</f>
        <v>https://dblp.org/db/conf/graphicsinterface/index.html</v>
      </c>
    </row>
    <row r="87">
      <c r="A87" s="35" t="str">
        <f>IFERROR(__xludf.DUMMYFUNCTION("""COMPUTED_VALUE"""),"Eventos da Área")</f>
        <v>Eventos da Área</v>
      </c>
      <c r="B87" t="str">
        <f>IFERROR(__xludf.DUMMYFUNCTION("""COMPUTED_VALUE"""),"ICPRAM")</f>
        <v>ICPRAM</v>
      </c>
      <c r="C87" t="str">
        <f>IFERROR(__xludf.DUMMYFUNCTION("""COMPUTED_VALUE"""),"International Conference on Pattern Recognition Applications and Methods")</f>
        <v>International Conference on Pattern Recognition Applications and Methods</v>
      </c>
      <c r="D87">
        <f>IFERROR(__xludf.DUMMYFUNCTION("""COMPUTED_VALUE"""),21.0)</f>
        <v>21</v>
      </c>
      <c r="E87" s="59" t="str">
        <f>IFERROR(__xludf.DUMMYFUNCTION("""COMPUTED_VALUE"""),"https://scholar.google.com.br/scholar?hl=pt-BR&amp;as_sdt=0%2C5&amp;as_ylo=2019&amp;as_yhi=2024&amp;as_vis=1&amp;q=source%3AInternational+source%3AConference+source%3Aon++source%3APattern+source%3ARecognition+source%3AApplications+source%3Aand+source%3AMethods&amp;btnG=")</f>
        <v>https://scholar.google.com.br/scholar?hl=pt-BR&amp;as_sdt=0%2C5&amp;as_ylo=2019&amp;as_yhi=2024&amp;as_vis=1&amp;q=source%3AInternational+source%3AConference+source%3Aon++source%3APattern+source%3ARecognition+source%3AApplications+source%3Aand+source%3AMethods&amp;btnG=</v>
      </c>
      <c r="I87" s="60" t="str">
        <f>IFERROR(__xludf.DUMMYFUNCTION("""COMPUTED_VALUE"""),"https://dblp.org/db/conf/icpram/index.html ")</f>
        <v>https://dblp.org/db/conf/icpram/index.html </v>
      </c>
    </row>
    <row r="88">
      <c r="A88" s="35" t="str">
        <f>IFERROR(__xludf.DUMMYFUNCTION("""COMPUTED_VALUE"""),"Eventos da Área")</f>
        <v>Eventos da Área</v>
      </c>
      <c r="B88" t="str">
        <f>IFERROR(__xludf.DUMMYFUNCTION("""COMPUTED_VALUE"""),"EPIA")</f>
        <v>EPIA</v>
      </c>
      <c r="C88" t="str">
        <f>IFERROR(__xludf.DUMMYFUNCTION("""COMPUTED_VALUE"""),"Portuguese Conference on Artificial Intelligence")</f>
        <v>Portuguese Conference on Artificial Intelligence</v>
      </c>
      <c r="D88">
        <f>IFERROR(__xludf.DUMMYFUNCTION("""COMPUTED_VALUE"""),16.0)</f>
        <v>16</v>
      </c>
      <c r="E88" s="59" t="str">
        <f>IFERROR(__xludf.DUMMYFUNCTION("""COMPUTED_VALUE"""),"https://scholar.google.com/citations?hl=en&amp;view_op=list_hcore&amp;venue=SDrbTPLn2T0J.2024 ")</f>
        <v>https://scholar.google.com/citations?hl=en&amp;view_op=list_hcore&amp;venue=SDrbTPLn2T0J.2024 </v>
      </c>
      <c r="I88" s="60" t="str">
        <f>IFERROR(__xludf.DUMMYFUNCTION("""COMPUTED_VALUE"""),"https://dblp.org/db/conf/epia/index.html ")</f>
        <v>https://dblp.org/db/conf/epia/index.html </v>
      </c>
    </row>
    <row r="89">
      <c r="A89" s="35"/>
      <c r="E89" s="59"/>
    </row>
    <row r="90">
      <c r="A90" s="35"/>
      <c r="E90" s="59"/>
    </row>
    <row r="91">
      <c r="A91" s="35"/>
      <c r="E91" s="59"/>
    </row>
    <row r="92">
      <c r="A92" s="35"/>
      <c r="E92" s="59"/>
    </row>
    <row r="93">
      <c r="A93" s="35"/>
      <c r="E93" s="59"/>
    </row>
    <row r="94">
      <c r="A94" s="35"/>
      <c r="E94" s="59"/>
    </row>
    <row r="95">
      <c r="A95" s="35"/>
      <c r="E95" s="59"/>
    </row>
    <row r="96">
      <c r="A96" s="35"/>
      <c r="E96" s="59"/>
    </row>
    <row r="97">
      <c r="A97" s="35"/>
      <c r="E97" s="59"/>
    </row>
    <row r="98">
      <c r="A98" s="35"/>
      <c r="E98" s="59"/>
    </row>
    <row r="99">
      <c r="A99" s="35"/>
      <c r="E99" s="59"/>
    </row>
    <row r="100">
      <c r="A100" s="35"/>
    </row>
    <row r="101">
      <c r="A101" s="35"/>
    </row>
    <row r="102">
      <c r="A102" s="35"/>
    </row>
  </sheetData>
  <mergeCells count="1">
    <mergeCell ref="F9:G9"/>
  </mergeCells>
  <hyperlinks>
    <hyperlink r:id="rId1" ref="E2"/>
    <hyperlink r:id="rId2" ref="I2"/>
    <hyperlink r:id="rId3" ref="I3"/>
    <hyperlink r:id="rId4" ref="E4"/>
    <hyperlink r:id="rId5" ref="I4"/>
    <hyperlink r:id="rId6" ref="E5"/>
    <hyperlink r:id="rId7" ref="I5"/>
    <hyperlink r:id="rId8" ref="I6"/>
    <hyperlink r:id="rId9" ref="E7"/>
    <hyperlink r:id="rId10" ref="I7"/>
    <hyperlink r:id="rId11" ref="E8"/>
    <hyperlink r:id="rId12" ref="I8"/>
    <hyperlink r:id="rId13" ref="E9"/>
    <hyperlink r:id="rId14" ref="I9"/>
    <hyperlink r:id="rId15" ref="E10"/>
    <hyperlink r:id="rId16" ref="I10"/>
    <hyperlink r:id="rId17" ref="E11"/>
    <hyperlink r:id="rId18" ref="I11"/>
    <hyperlink r:id="rId19" ref="E12"/>
    <hyperlink r:id="rId20" ref="I12"/>
    <hyperlink r:id="rId21" ref="E13"/>
    <hyperlink r:id="rId22" ref="I13"/>
    <hyperlink r:id="rId23" ref="E14"/>
    <hyperlink r:id="rId24" ref="I14"/>
    <hyperlink r:id="rId25" ref="E15"/>
    <hyperlink r:id="rId26" ref="I15"/>
    <hyperlink r:id="rId27" ref="E16"/>
    <hyperlink r:id="rId28" ref="E17"/>
    <hyperlink r:id="rId29" ref="I17"/>
    <hyperlink r:id="rId30" ref="E18"/>
    <hyperlink r:id="rId31" ref="I18"/>
    <hyperlink r:id="rId32" ref="E19"/>
    <hyperlink r:id="rId33" ref="I19"/>
    <hyperlink r:id="rId34" ref="E20"/>
    <hyperlink r:id="rId35" ref="I20"/>
    <hyperlink r:id="rId36" ref="E21"/>
    <hyperlink r:id="rId37" ref="I21"/>
    <hyperlink r:id="rId38" ref="E22"/>
    <hyperlink r:id="rId39" ref="I22"/>
    <hyperlink r:id="rId40" ref="E23"/>
    <hyperlink r:id="rId41" ref="I23"/>
    <hyperlink r:id="rId42" ref="E24"/>
    <hyperlink r:id="rId43" ref="I24"/>
    <hyperlink r:id="rId44" ref="E25"/>
    <hyperlink r:id="rId45" ref="I25"/>
    <hyperlink r:id="rId46" ref="E26"/>
    <hyperlink r:id="rId47" ref="I26"/>
    <hyperlink r:id="rId48" ref="E27"/>
    <hyperlink r:id="rId49" ref="I27"/>
    <hyperlink r:id="rId50" ref="E28"/>
    <hyperlink r:id="rId51" ref="I28"/>
    <hyperlink r:id="rId52" ref="E29"/>
    <hyperlink r:id="rId53" ref="I29"/>
    <hyperlink r:id="rId54" ref="E30"/>
    <hyperlink r:id="rId55" ref="I30"/>
    <hyperlink r:id="rId56" ref="E31"/>
    <hyperlink r:id="rId57" ref="I31"/>
    <hyperlink r:id="rId58" ref="E32"/>
    <hyperlink r:id="rId59" ref="I32"/>
    <hyperlink r:id="rId60" ref="E33"/>
    <hyperlink r:id="rId61" ref="I33"/>
    <hyperlink r:id="rId62" ref="E34"/>
    <hyperlink r:id="rId63" ref="I34"/>
    <hyperlink r:id="rId64" ref="E35"/>
    <hyperlink r:id="rId65" ref="I35"/>
    <hyperlink r:id="rId66" ref="E36"/>
    <hyperlink r:id="rId67" ref="I36"/>
    <hyperlink r:id="rId68" ref="E37"/>
    <hyperlink r:id="rId69" ref="I37"/>
    <hyperlink r:id="rId70" ref="E38"/>
    <hyperlink r:id="rId71" ref="I38"/>
    <hyperlink r:id="rId72" ref="E39"/>
    <hyperlink r:id="rId73" ref="I39"/>
    <hyperlink r:id="rId74" ref="E40"/>
    <hyperlink r:id="rId75" ref="I40"/>
    <hyperlink r:id="rId76" ref="E41"/>
    <hyperlink r:id="rId77" ref="I41"/>
    <hyperlink r:id="rId78" ref="E42"/>
    <hyperlink r:id="rId79" ref="I42"/>
    <hyperlink r:id="rId80" ref="E43"/>
    <hyperlink r:id="rId81" ref="I43"/>
    <hyperlink r:id="rId82" ref="E44"/>
    <hyperlink r:id="rId83" ref="I44"/>
    <hyperlink r:id="rId84" ref="E45"/>
    <hyperlink r:id="rId85" ref="I45"/>
    <hyperlink r:id="rId86" ref="E46"/>
    <hyperlink r:id="rId87" ref="I46"/>
    <hyperlink r:id="rId88" ref="E47"/>
    <hyperlink r:id="rId89" ref="I47"/>
    <hyperlink r:id="rId90" ref="E48"/>
    <hyperlink r:id="rId91" ref="I48"/>
    <hyperlink r:id="rId92" ref="E49"/>
    <hyperlink r:id="rId93" ref="I49"/>
    <hyperlink r:id="rId94" ref="E50"/>
    <hyperlink r:id="rId95" ref="I50"/>
    <hyperlink r:id="rId96" ref="E51"/>
    <hyperlink r:id="rId97" ref="I51"/>
    <hyperlink r:id="rId98" ref="E52"/>
    <hyperlink r:id="rId99" ref="I52"/>
    <hyperlink r:id="rId100" ref="E53"/>
    <hyperlink r:id="rId101" ref="I53"/>
    <hyperlink r:id="rId102" ref="E54"/>
    <hyperlink r:id="rId103" ref="I54"/>
    <hyperlink r:id="rId104" ref="E55"/>
    <hyperlink r:id="rId105" ref="I55"/>
    <hyperlink r:id="rId106" ref="E56"/>
    <hyperlink r:id="rId107" ref="I56"/>
    <hyperlink r:id="rId108" ref="E57"/>
    <hyperlink r:id="rId109" ref="I57"/>
    <hyperlink r:id="rId110" ref="E58"/>
    <hyperlink r:id="rId111" ref="I58"/>
    <hyperlink r:id="rId112" ref="E59"/>
    <hyperlink r:id="rId113" ref="I59"/>
    <hyperlink r:id="rId114" ref="E60"/>
    <hyperlink r:id="rId115" ref="I60"/>
    <hyperlink r:id="rId116" ref="E61"/>
    <hyperlink r:id="rId117" ref="I61"/>
    <hyperlink r:id="rId118" ref="E62"/>
    <hyperlink r:id="rId119" ref="I62"/>
    <hyperlink r:id="rId120" ref="E63"/>
    <hyperlink r:id="rId121" ref="I63"/>
    <hyperlink r:id="rId122" ref="E64"/>
    <hyperlink r:id="rId123" ref="I64"/>
    <hyperlink r:id="rId124" ref="E65"/>
    <hyperlink r:id="rId125" ref="I65"/>
    <hyperlink r:id="rId126" ref="E66"/>
    <hyperlink r:id="rId127" ref="E67"/>
    <hyperlink r:id="rId128" ref="I67"/>
    <hyperlink r:id="rId129" ref="E68"/>
    <hyperlink r:id="rId130" ref="I68"/>
    <hyperlink r:id="rId131" ref="E69"/>
    <hyperlink r:id="rId132" ref="I69"/>
    <hyperlink r:id="rId133" ref="E70"/>
    <hyperlink r:id="rId134" ref="E71"/>
    <hyperlink r:id="rId135" ref="I71"/>
    <hyperlink r:id="rId136" ref="E72"/>
    <hyperlink r:id="rId137" ref="I72"/>
    <hyperlink r:id="rId138" ref="E73"/>
    <hyperlink r:id="rId139" ref="I73"/>
    <hyperlink r:id="rId140" ref="E74"/>
    <hyperlink r:id="rId141" ref="I74"/>
    <hyperlink r:id="rId142" ref="E75"/>
    <hyperlink r:id="rId143" ref="I75"/>
    <hyperlink r:id="rId144" ref="E76"/>
    <hyperlink r:id="rId145" ref="I76"/>
    <hyperlink r:id="rId146" ref="E77"/>
    <hyperlink r:id="rId147" ref="I77"/>
    <hyperlink r:id="rId148" ref="E78"/>
    <hyperlink r:id="rId149" ref="E79"/>
    <hyperlink r:id="rId150" ref="I79"/>
    <hyperlink r:id="rId151" ref="E80"/>
    <hyperlink r:id="rId152" ref="I80"/>
    <hyperlink r:id="rId153" ref="E81"/>
    <hyperlink r:id="rId154" ref="I81"/>
    <hyperlink r:id="rId155" ref="E82"/>
    <hyperlink r:id="rId156" ref="I82"/>
    <hyperlink r:id="rId157" ref="E83"/>
    <hyperlink r:id="rId158" ref="I83"/>
    <hyperlink r:id="rId159" ref="E84"/>
    <hyperlink r:id="rId160" ref="I85"/>
    <hyperlink r:id="rId161" ref="I86"/>
    <hyperlink r:id="rId162" ref="E87"/>
    <hyperlink r:id="rId163" ref="I87"/>
    <hyperlink r:id="rId164" ref="E88"/>
    <hyperlink r:id="rId165" ref="I88"/>
  </hyperlinks>
  <drawing r:id="rId166"/>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88"/>
    <col customWidth="1" min="2" max="2" width="15.25"/>
    <col customWidth="1" min="3" max="3" width="51.13"/>
    <col customWidth="1" min="5" max="5" width="72.25"/>
    <col customWidth="1" min="7" max="7" width="27.5"/>
    <col customWidth="1" min="8" max="8" width="26.0"/>
    <col customWidth="1" min="9" max="9" width="35.38"/>
  </cols>
  <sheetData>
    <row r="1">
      <c r="A1" s="1" t="str">
        <f>IFERROR(__xludf.DUMMYFUNCTION("importrange(""https://docs.google.com/spreadsheets/d/17fJjKl-g6-PTij7HnT7ZbYIVCOyyaGKybe7LBFJZoss/edit#gid=2122635417"",""CE-RESD!A1:J150"")"),"TOP")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107" t="str">
        <f>IFERROR(__xludf.DUMMYFUNCTION("""COMPUTED_VALUE"""),"Top 10")</f>
        <v>Top 10</v>
      </c>
      <c r="B2" s="35" t="str">
        <f>IFERROR(__xludf.DUMMYFUNCTION("""COMPUTED_VALUE"""),"INFOCOM")</f>
        <v>INFOCOM</v>
      </c>
      <c r="C2" s="35" t="str">
        <f>IFERROR(__xludf.DUMMYFUNCTION("""COMPUTED_VALUE"""),"IEEE International Conference on Computer Communications")</f>
        <v>IEEE International Conference on Computer Communications</v>
      </c>
      <c r="D2" s="35">
        <f>IFERROR(__xludf.DUMMYFUNCTION("""COMPUTED_VALUE"""),80.0)</f>
        <v>80</v>
      </c>
      <c r="E2" s="59" t="str">
        <f>IFERROR(__xludf.DUMMYFUNCTION("""COMPUTED_VALUE"""),"https://scholar.google.com.br/citations?hl=en&amp;vq=eng_computernetworkswirelesscommunication&amp;view_op=list_hcore&amp;venue=JMgzZsGYu14J.2023")</f>
        <v>https://scholar.google.com.br/citations?hl=en&amp;vq=eng_computernetworkswirelesscommunication&amp;view_op=list_hcore&amp;venue=JMgzZsGYu14J.2023</v>
      </c>
      <c r="F2" s="35"/>
      <c r="I2" s="60" t="str">
        <f>IFERROR(__xludf.DUMMYFUNCTION("""COMPUTED_VALUE"""),"https://dblp.org/db/conf/infocom/index.html")</f>
        <v>https://dblp.org/db/conf/infocom/index.html</v>
      </c>
      <c r="J2" s="2"/>
      <c r="K2" s="2"/>
      <c r="L2" s="2"/>
      <c r="M2" s="2"/>
      <c r="N2" s="2"/>
      <c r="O2" s="2"/>
      <c r="P2" s="2"/>
      <c r="Q2" s="2"/>
      <c r="R2" s="2"/>
      <c r="S2" s="2"/>
      <c r="T2" s="2"/>
      <c r="U2" s="2"/>
      <c r="V2" s="2"/>
      <c r="W2" s="2"/>
      <c r="X2" s="2"/>
      <c r="Y2" s="2"/>
      <c r="Z2" s="2"/>
    </row>
    <row r="3">
      <c r="A3" s="107" t="str">
        <f>IFERROR(__xludf.DUMMYFUNCTION("""COMPUTED_VALUE"""),"Top 10")</f>
        <v>Top 10</v>
      </c>
      <c r="B3" s="30" t="str">
        <f>IFERROR(__xludf.DUMMYFUNCTION("""COMPUTED_VALUE"""),"ICC")</f>
        <v>ICC</v>
      </c>
      <c r="C3" s="30" t="str">
        <f>IFERROR(__xludf.DUMMYFUNCTION("""COMPUTED_VALUE"""),"IEEE International Conference on Communications")</f>
        <v>IEEE International Conference on Communications</v>
      </c>
      <c r="D3" s="108">
        <f>IFERROR(__xludf.DUMMYFUNCTION("""COMPUTED_VALUE"""),76.0)</f>
        <v>76</v>
      </c>
      <c r="E3" s="59" t="str">
        <f>IFERROR(__xludf.DUMMYFUNCTION("""COMPUTED_VALUE"""),"https://scholar.google.com.br/citations?hl=en&amp;vq=eng_computernetworkswirelesscommunication&amp;view_op=list_hcore&amp;venue=RIbmH16J7yoJ.2023")</f>
        <v>https://scholar.google.com.br/citations?hl=en&amp;vq=eng_computernetworkswirelesscommunication&amp;view_op=list_hcore&amp;venue=RIbmH16J7yoJ.2023</v>
      </c>
      <c r="F3" s="30"/>
      <c r="I3" s="60" t="str">
        <f>IFERROR(__xludf.DUMMYFUNCTION("""COMPUTED_VALUE"""),"https://dblp.org/db/conf/icc/index.html")</f>
        <v>https://dblp.org/db/conf/icc/index.html</v>
      </c>
    </row>
    <row r="4">
      <c r="A4" s="107" t="str">
        <f>IFERROR(__xludf.DUMMYFUNCTION("""COMPUTED_VALUE"""),"Top 10")</f>
        <v>Top 10</v>
      </c>
      <c r="B4" s="30" t="str">
        <f>IFERROR(__xludf.DUMMYFUNCTION("""COMPUTED_VALUE"""),"GLOBECOM")</f>
        <v>GLOBECOM</v>
      </c>
      <c r="C4" s="30" t="str">
        <f>IFERROR(__xludf.DUMMYFUNCTION("""COMPUTED_VALUE"""),"IEEE Global Communications Conference")</f>
        <v>IEEE Global Communications Conference</v>
      </c>
      <c r="D4" s="108">
        <f>IFERROR(__xludf.DUMMYFUNCTION("""COMPUTED_VALUE"""),64.0)</f>
        <v>64</v>
      </c>
      <c r="E4" s="59" t="str">
        <f>IFERROR(__xludf.DUMMYFUNCTION("""COMPUTED_VALUE"""),"https://scholar.google.com.br/citations?hl=en&amp;vq=eng_computernetworkswirelesscommunication&amp;view_op=list_hcore&amp;venue=pZS97tVVUCgJ.2023")</f>
        <v>https://scholar.google.com.br/citations?hl=en&amp;vq=eng_computernetworkswirelesscommunication&amp;view_op=list_hcore&amp;venue=pZS97tVVUCgJ.2023</v>
      </c>
      <c r="F4" s="30"/>
      <c r="I4" s="60" t="str">
        <f>IFERROR(__xludf.DUMMYFUNCTION("""COMPUTED_VALUE"""),"https://dblp.org/db/conf/globecom/index.html")</f>
        <v>https://dblp.org/db/conf/globecom/index.html</v>
      </c>
    </row>
    <row r="5">
      <c r="A5" s="107" t="str">
        <f>IFERROR(__xludf.DUMMYFUNCTION("""COMPUTED_VALUE"""),"Top 10")</f>
        <v>Top 10</v>
      </c>
      <c r="B5" s="30" t="str">
        <f>IFERROR(__xludf.DUMMYFUNCTION("""COMPUTED_VALUE"""),"NSDI")</f>
        <v>NSDI</v>
      </c>
      <c r="C5" s="30" t="str">
        <f>IFERROR(__xludf.DUMMYFUNCTION("""COMPUTED_VALUE"""),"Networked Systems Design and Implementation")</f>
        <v>Networked Systems Design and Implementation</v>
      </c>
      <c r="D5" s="108">
        <f>IFERROR(__xludf.DUMMYFUNCTION("""COMPUTED_VALUE"""),60.0)</f>
        <v>60</v>
      </c>
      <c r="E5" s="59" t="str">
        <f>IFERROR(__xludf.DUMMYFUNCTION("""COMPUTED_VALUE"""),"https://scholar.google.com.br/citations?hl=en&amp;view_op=list_hcore&amp;venue=J92rQU3cJVwJ.2023")</f>
        <v>https://scholar.google.com.br/citations?hl=en&amp;view_op=list_hcore&amp;venue=J92rQU3cJVwJ.2023</v>
      </c>
      <c r="F5" s="30"/>
      <c r="I5" s="60" t="str">
        <f>IFERROR(__xludf.DUMMYFUNCTION("""COMPUTED_VALUE"""),"https://dblp.org/db/conf/nsdi/index.html")</f>
        <v>https://dblp.org/db/conf/nsdi/index.html</v>
      </c>
    </row>
    <row r="6">
      <c r="A6" s="107" t="str">
        <f>IFERROR(__xludf.DUMMYFUNCTION("""COMPUTED_VALUE"""),"Top 10")</f>
        <v>Top 10</v>
      </c>
      <c r="B6" s="30" t="str">
        <f>IFERROR(__xludf.DUMMYFUNCTION("""COMPUTED_VALUE"""),"SIGCOMM")</f>
        <v>SIGCOMM</v>
      </c>
      <c r="C6" s="30" t="str">
        <f>IFERROR(__xludf.DUMMYFUNCTION("""COMPUTED_VALUE"""),"ACM SIGCOMM Conference")</f>
        <v>ACM SIGCOMM Conference</v>
      </c>
      <c r="D6" s="108">
        <f>IFERROR(__xludf.DUMMYFUNCTION("""COMPUTED_VALUE"""),57.0)</f>
        <v>57</v>
      </c>
      <c r="E6" s="59" t="str">
        <f>IFERROR(__xludf.DUMMYFUNCTION("""COMPUTED_VALUE"""),"https://scholar.google.com.br/citations?hl=en&amp;view_op=list_hcore&amp;venue=xd8jQKOw5ikJ.2023")</f>
        <v>https://scholar.google.com.br/citations?hl=en&amp;view_op=list_hcore&amp;venue=xd8jQKOw5ikJ.2023</v>
      </c>
      <c r="F6" s="30"/>
      <c r="I6" s="60" t="str">
        <f>IFERROR(__xludf.DUMMYFUNCTION("""COMPUTED_VALUE"""),"https://dblp.org/db/conf/sigcomm/index.html")</f>
        <v>https://dblp.org/db/conf/sigcomm/index.html</v>
      </c>
    </row>
    <row r="7">
      <c r="A7" s="107" t="str">
        <f>IFERROR(__xludf.DUMMYFUNCTION("""COMPUTED_VALUE"""),"Top 10")</f>
        <v>Top 10</v>
      </c>
      <c r="B7" s="30" t="str">
        <f>IFERROR(__xludf.DUMMYFUNCTION("""COMPUTED_VALUE"""),"MOBICOM")</f>
        <v>MOBICOM</v>
      </c>
      <c r="C7" s="30" t="str">
        <f>IFERROR(__xludf.DUMMYFUNCTION("""COMPUTED_VALUE"""),"ACM/IEEE International Conference on Mobile Computing and Networking")</f>
        <v>ACM/IEEE International Conference on Mobile Computing and Networking</v>
      </c>
      <c r="D7" s="108">
        <f>IFERROR(__xludf.DUMMYFUNCTION("""COMPUTED_VALUE"""),51.0)</f>
        <v>51</v>
      </c>
      <c r="E7" s="59" t="str">
        <f>IFERROR(__xludf.DUMMYFUNCTION("""COMPUTED_VALUE"""),"https://scholar.google.com.br/citations?hl=en&amp;view_op=list_hcore&amp;venue=CYo1GjC2fW8J.2023")</f>
        <v>https://scholar.google.com.br/citations?hl=en&amp;view_op=list_hcore&amp;venue=CYo1GjC2fW8J.2023</v>
      </c>
      <c r="F7" s="30"/>
      <c r="I7" s="60" t="str">
        <f>IFERROR(__xludf.DUMMYFUNCTION("""COMPUTED_VALUE"""),"https://dblp.org/db/conf/mobicom/index.html")</f>
        <v>https://dblp.org/db/conf/mobicom/index.html</v>
      </c>
    </row>
    <row r="8">
      <c r="A8" s="107" t="str">
        <f>IFERROR(__xludf.DUMMYFUNCTION("""COMPUTED_VALUE"""),"Top 10")</f>
        <v>Top 10</v>
      </c>
      <c r="B8" s="30" t="str">
        <f>IFERROR(__xludf.DUMMYFUNCTION("""COMPUTED_VALUE"""),"ICDCS")</f>
        <v>ICDCS</v>
      </c>
      <c r="C8" s="30" t="str">
        <f>IFERROR(__xludf.DUMMYFUNCTION("""COMPUTED_VALUE"""),"International Conference on Distributed Computing Systems")</f>
        <v>International Conference on Distributed Computing Systems</v>
      </c>
      <c r="D8" s="108">
        <f>IFERROR(__xludf.DUMMYFUNCTION("""COMPUTED_VALUE"""),47.0)</f>
        <v>47</v>
      </c>
      <c r="E8" s="59" t="str">
        <f>IFERROR(__xludf.DUMMYFUNCTION("""COMPUTED_VALUE"""),"https://scholar.google.com/citations?hl=en&amp;view_op=list_hcore&amp;venue=CiHz08Ia1nsJ.2023")</f>
        <v>https://scholar.google.com/citations?hl=en&amp;view_op=list_hcore&amp;venue=CiHz08Ia1nsJ.2023</v>
      </c>
      <c r="F8" s="30"/>
      <c r="I8" s="60" t="str">
        <f>IFERROR(__xludf.DUMMYFUNCTION("""COMPUTED_VALUE"""),"https://dblp.org/db/conf/icdcs/index.html")</f>
        <v>https://dblp.org/db/conf/icdcs/index.html</v>
      </c>
    </row>
    <row r="9">
      <c r="A9" s="107" t="str">
        <f>IFERROR(__xludf.DUMMYFUNCTION("""COMPUTED_VALUE"""),"Top 10")</f>
        <v>Top 10</v>
      </c>
      <c r="B9" s="57" t="str">
        <f>IFERROR(__xludf.DUMMYFUNCTION("""COMPUTED_VALUE"""),"IMC")</f>
        <v>IMC</v>
      </c>
      <c r="C9" s="57" t="str">
        <f>IFERROR(__xludf.DUMMYFUNCTION("""COMPUTED_VALUE"""),"ACM Internet Measurement Conference")</f>
        <v>ACM Internet Measurement Conference</v>
      </c>
      <c r="D9" s="67">
        <f>IFERROR(__xludf.DUMMYFUNCTION("""COMPUTED_VALUE"""),45.0)</f>
        <v>45</v>
      </c>
      <c r="E9" s="59" t="str">
        <f>IFERROR(__xludf.DUMMYFUNCTION("""COMPUTED_VALUE"""),"https://scholar.google.com/citations?hl=en&amp;view_op=list_hcore&amp;venue=Yh-Vy_bHNYMJ.2023")</f>
        <v>https://scholar.google.com/citations?hl=en&amp;view_op=list_hcore&amp;venue=Yh-Vy_bHNYMJ.2023</v>
      </c>
      <c r="F9" s="109"/>
      <c r="I9" s="60" t="str">
        <f>IFERROR(__xludf.DUMMYFUNCTION("""COMPUTED_VALUE"""),"https://dblp.org/db/conf/imc/index.html")</f>
        <v>https://dblp.org/db/conf/imc/index.html</v>
      </c>
    </row>
    <row r="10">
      <c r="A10" s="107" t="str">
        <f>IFERROR(__xludf.DUMMYFUNCTION("""COMPUTED_VALUE"""),"Top 10")</f>
        <v>Top 10</v>
      </c>
      <c r="B10" s="30" t="str">
        <f>IFERROR(__xludf.DUMMYFUNCTION("""COMPUTED_VALUE"""),"MobiSys")</f>
        <v>MobiSys</v>
      </c>
      <c r="C10" s="30" t="str">
        <f>IFERROR(__xludf.DUMMYFUNCTION("""COMPUTED_VALUE"""),"Annual International Conference on Mobile Systems, Applications, and Services")</f>
        <v>Annual International Conference on Mobile Systems, Applications, and Services</v>
      </c>
      <c r="D10" s="108">
        <f>IFERROR(__xludf.DUMMYFUNCTION("""COMPUTED_VALUE"""),39.0)</f>
        <v>39</v>
      </c>
      <c r="E10" s="59" t="str">
        <f>IFERROR(__xludf.DUMMYFUNCTION("""COMPUTED_VALUE"""),"https://scholar.google.com/citations?hl=en&amp;view_op=list_hcore&amp;venue=0mhk3_x__KIJ.2023")</f>
        <v>https://scholar.google.com/citations?hl=en&amp;view_op=list_hcore&amp;venue=0mhk3_x__KIJ.2023</v>
      </c>
      <c r="F10" s="30"/>
      <c r="I10" s="60" t="str">
        <f>IFERROR(__xludf.DUMMYFUNCTION("""COMPUTED_VALUE"""),"https://dblp.org/db/conf/mobisys/index.html")</f>
        <v>https://dblp.org/db/conf/mobisys/index.html</v>
      </c>
    </row>
    <row r="11">
      <c r="A11" s="107" t="str">
        <f>IFERROR(__xludf.DUMMYFUNCTION("""COMPUTED_VALUE"""),"Top 10")</f>
        <v>Top 10</v>
      </c>
      <c r="B11" s="30" t="str">
        <f>IFERROR(__xludf.DUMMYFUNCTION("""COMPUTED_VALUE"""),"CONEXT")</f>
        <v>CONEXT</v>
      </c>
      <c r="C11" s="30" t="str">
        <f>IFERROR(__xludf.DUMMYFUNCTION("""COMPUTED_VALUE"""),"Conference on Emerging Network Experiment and Technology")</f>
        <v>Conference on Emerging Network Experiment and Technology</v>
      </c>
      <c r="D11" s="108">
        <f>IFERROR(__xludf.DUMMYFUNCTION("""COMPUTED_VALUE"""),31.0)</f>
        <v>31</v>
      </c>
      <c r="E11" s="59" t="str">
        <f>IFERROR(__xludf.DUMMYFUNCTION("""COMPUTED_VALUE"""),"https://scholar.google.com/citations?hl=en&amp;view_op=list_hcore&amp;venue=pj0-opwdew8J.2023")</f>
        <v>https://scholar.google.com/citations?hl=en&amp;view_op=list_hcore&amp;venue=pj0-opwdew8J.2023</v>
      </c>
      <c r="F11" s="30"/>
      <c r="I11" s="60" t="str">
        <f>IFERROR(__xludf.DUMMYFUNCTION("""COMPUTED_VALUE"""),"https://dblp.org/db/conf/conext/index.html")</f>
        <v>https://dblp.org/db/conf/conext/index.html</v>
      </c>
    </row>
    <row r="12">
      <c r="A12" s="110" t="str">
        <f>IFERROR(__xludf.DUMMYFUNCTION("""COMPUTED_VALUE"""),"Top 20")</f>
        <v>Top 20</v>
      </c>
      <c r="B12" s="30" t="str">
        <f>IFERROR(__xludf.DUMMYFUNCTION("""COMPUTED_VALUE"""),"SenSys")</f>
        <v>SenSys</v>
      </c>
      <c r="C12" s="30" t="str">
        <f>IFERROR(__xludf.DUMMYFUNCTION("""COMPUTED_VALUE"""),"ACM Conference on Embedded Network Sensor Systems")</f>
        <v>ACM Conference on Embedded Network Sensor Systems</v>
      </c>
      <c r="D12" s="108">
        <f>IFERROR(__xludf.DUMMYFUNCTION("""COMPUTED_VALUE"""),36.0)</f>
        <v>36</v>
      </c>
      <c r="E12" s="59" t="str">
        <f>IFERROR(__xludf.DUMMYFUNCTION("""COMPUTED_VALUE"""),"https://scholar.google.com/citations?hl=en&amp;view_op=list_hcore&amp;venue=LThmRgAPtwoJ.2023")</f>
        <v>https://scholar.google.com/citations?hl=en&amp;view_op=list_hcore&amp;venue=LThmRgAPtwoJ.2023</v>
      </c>
      <c r="F12" s="30"/>
      <c r="I12" s="60" t="str">
        <f>IFERROR(__xludf.DUMMYFUNCTION("""COMPUTED_VALUE"""),"https://dblp.org/db/conf/sensys/index.html")</f>
        <v>https://dblp.org/db/conf/sensys/index.html</v>
      </c>
    </row>
    <row r="13">
      <c r="A13" s="110" t="str">
        <f>IFERROR(__xludf.DUMMYFUNCTION("""COMPUTED_VALUE"""),"Top 20")</f>
        <v>Top 20</v>
      </c>
      <c r="B13" s="57" t="str">
        <f>IFERROR(__xludf.DUMMYFUNCTION("""COMPUTED_VALUE"""),"PODC")</f>
        <v>PODC</v>
      </c>
      <c r="C13" s="57" t="str">
        <f>IFERROR(__xludf.DUMMYFUNCTION("""COMPUTED_VALUE"""),"ACM Symposium on Principles of Distributed Computing")</f>
        <v>ACM Symposium on Principles of Distributed Computing</v>
      </c>
      <c r="D13" s="67">
        <f>IFERROR(__xludf.DUMMYFUNCTION("""COMPUTED_VALUE"""),31.0)</f>
        <v>31</v>
      </c>
      <c r="E13" s="59" t="str">
        <f>IFERROR(__xludf.DUMMYFUNCTION("""COMPUTED_VALUE"""),"https://scholar.google.com/citations?hl=en&amp;view_op=list_hcore&amp;venue=fcioh0Px5iMJ.2023")</f>
        <v>https://scholar.google.com/citations?hl=en&amp;view_op=list_hcore&amp;venue=fcioh0Px5iMJ.2023</v>
      </c>
      <c r="F13" s="30"/>
      <c r="I13" s="60" t="str">
        <f>IFERROR(__xludf.DUMMYFUNCTION("""COMPUTED_VALUE"""),"https://dblp.org/db/conf/podc/index.html")</f>
        <v>https://dblp.org/db/conf/podc/index.html</v>
      </c>
    </row>
    <row r="14">
      <c r="A14" s="110" t="str">
        <f>IFERROR(__xludf.DUMMYFUNCTION("""COMPUTED_VALUE"""),"Top 20")</f>
        <v>Top 20</v>
      </c>
      <c r="B14" s="30" t="str">
        <f>IFERROR(__xludf.DUMMYFUNCTION("""COMPUTED_VALUE"""),"PIMRC")</f>
        <v>PIMRC</v>
      </c>
      <c r="C14" s="111" t="str">
        <f>IFERROR(__xludf.DUMMYFUNCTION("""COMPUTED_VALUE"""),"International Symposium on Personal, Indoor and Mobile Radio Communications")</f>
        <v>International Symposium on Personal, Indoor and Mobile Radio Communications</v>
      </c>
      <c r="D14" s="108">
        <f>IFERROR(__xludf.DUMMYFUNCTION("""COMPUTED_VALUE"""),30.0)</f>
        <v>30</v>
      </c>
      <c r="E14" s="59" t="str">
        <f>IFERROR(__xludf.DUMMYFUNCTION("""COMPUTED_VALUE"""),"https://scholar.google.com/citations?hl=en&amp;view_op=list_hcore&amp;venue=z284emjTz40J.2023")</f>
        <v>https://scholar.google.com/citations?hl=en&amp;view_op=list_hcore&amp;venue=z284emjTz40J.2023</v>
      </c>
      <c r="F14" s="57"/>
      <c r="I14" s="60" t="str">
        <f>IFERROR(__xludf.DUMMYFUNCTION("""COMPUTED_VALUE"""),"https://dblp.org/db/conf/pimrc/index.html")</f>
        <v>https://dblp.org/db/conf/pimrc/index.html</v>
      </c>
    </row>
    <row r="15">
      <c r="A15" s="110" t="str">
        <f>IFERROR(__xludf.DUMMYFUNCTION("""COMPUTED_VALUE"""),"Top 20")</f>
        <v>Top 20</v>
      </c>
      <c r="B15" s="111" t="str">
        <f>IFERROR(__xludf.DUMMYFUNCTION("""COMPUTED_VALUE"""),"ICNC")</f>
        <v>ICNC</v>
      </c>
      <c r="C15" s="112" t="str">
        <f>IFERROR(__xludf.DUMMYFUNCTION("""COMPUTED_VALUE"""),"International Conference on Computing, Networking and Communications")</f>
        <v>International Conference on Computing, Networking and Communications</v>
      </c>
      <c r="D15" s="108">
        <f>IFERROR(__xludf.DUMMYFUNCTION("""COMPUTED_VALUE"""),28.0)</f>
        <v>28</v>
      </c>
      <c r="E15" s="59" t="str">
        <f>IFERROR(__xludf.DUMMYFUNCTION("""COMPUTED_VALUE"""),"https://scholar.google.com/citations?hl=en&amp;view_op=list_hcore&amp;venue=dHfyvFtXJEcJ.2023")</f>
        <v>https://scholar.google.com/citations?hl=en&amp;view_op=list_hcore&amp;venue=dHfyvFtXJEcJ.2023</v>
      </c>
      <c r="F15" s="30"/>
      <c r="I15" s="60" t="str">
        <f>IFERROR(__xludf.DUMMYFUNCTION("""COMPUTED_VALUE"""),"https://dblp.org/db/conf/icnc/index.html")</f>
        <v>https://dblp.org/db/conf/icnc/index.html</v>
      </c>
    </row>
    <row r="16">
      <c r="A16" s="110" t="str">
        <f>IFERROR(__xludf.DUMMYFUNCTION("""COMPUTED_VALUE"""),"Top 20")</f>
        <v>Top 20</v>
      </c>
      <c r="B16" s="30" t="str">
        <f>IFERROR(__xludf.DUMMYFUNCTION("""COMPUTED_VALUE"""),"ICNP")</f>
        <v>ICNP</v>
      </c>
      <c r="C16" s="30" t="str">
        <f>IFERROR(__xludf.DUMMYFUNCTION("""COMPUTED_VALUE"""),"International Conference on Network Protocols")</f>
        <v>International Conference on Network Protocols</v>
      </c>
      <c r="D16" s="108">
        <f>IFERROR(__xludf.DUMMYFUNCTION("""COMPUTED_VALUE"""),27.0)</f>
        <v>27</v>
      </c>
      <c r="E16" s="59" t="str">
        <f>IFERROR(__xludf.DUMMYFUNCTION("""COMPUTED_VALUE"""),"https://scholar.google.com/citations?hl=en&amp;view_op=list_hcore&amp;venue=uhUmlwFgx3kJ.2023")</f>
        <v>https://scholar.google.com/citations?hl=en&amp;view_op=list_hcore&amp;venue=uhUmlwFgx3kJ.2023</v>
      </c>
      <c r="F16" s="30"/>
      <c r="I16" s="60" t="str">
        <f>IFERROR(__xludf.DUMMYFUNCTION("""COMPUTED_VALUE"""),"https://dblp.org/db/conf/icnp/index.html")</f>
        <v>https://dblp.org/db/conf/icnp/index.html</v>
      </c>
    </row>
    <row r="17">
      <c r="A17" s="110" t="str">
        <f>IFERROR(__xludf.DUMMYFUNCTION("""COMPUTED_VALUE"""),"Top 20")</f>
        <v>Top 20</v>
      </c>
      <c r="B17" s="30" t="str">
        <f>IFERROR(__xludf.DUMMYFUNCTION("""COMPUTED_VALUE"""),"MOBIHOC")</f>
        <v>MOBIHOC</v>
      </c>
      <c r="C17" s="30" t="str">
        <f>IFERROR(__xludf.DUMMYFUNCTION("""COMPUTED_VALUE"""),"ACM International Symposium on Mobile Ad Hoc Networking and Computing")</f>
        <v>ACM International Symposium on Mobile Ad Hoc Networking and Computing</v>
      </c>
      <c r="D17" s="108">
        <f>IFERROR(__xludf.DUMMYFUNCTION("""COMPUTED_VALUE"""),25.0)</f>
        <v>25</v>
      </c>
      <c r="E17" s="59" t="str">
        <f>IFERROR(__xludf.DUMMYFUNCTION("""COMPUTED_VALUE"""),"https://scholar.google.com/citations?hl=en&amp;view_op=list_hcore&amp;venue=Okb8aqGJjLgJ.2023")</f>
        <v>https://scholar.google.com/citations?hl=en&amp;view_op=list_hcore&amp;venue=Okb8aqGJjLgJ.2023</v>
      </c>
      <c r="F17" s="30"/>
      <c r="I17" s="60" t="str">
        <f>IFERROR(__xludf.DUMMYFUNCTION("""COMPUTED_VALUE"""),"https://dblp.org/db/conf/mobihoc/index.html")</f>
        <v>https://dblp.org/db/conf/mobihoc/index.html</v>
      </c>
    </row>
    <row r="18">
      <c r="A18" s="110" t="str">
        <f>IFERROR(__xludf.DUMMYFUNCTION("""COMPUTED_VALUE"""),"Top 20")</f>
        <v>Top 20</v>
      </c>
      <c r="B18" s="30" t="str">
        <f>IFERROR(__xludf.DUMMYFUNCTION("""COMPUTED_VALUE"""),"IM")</f>
        <v>IM</v>
      </c>
      <c r="C18" s="30" t="str">
        <f>IFERROR(__xludf.DUMMYFUNCTION("""COMPUTED_VALUE"""),"IFIP/IEEE International Symposium on Integrated Network Management")</f>
        <v>IFIP/IEEE International Symposium on Integrated Network Management</v>
      </c>
      <c r="D18" s="108">
        <f>IFERROR(__xludf.DUMMYFUNCTION("""COMPUTED_VALUE"""),23.0)</f>
        <v>23</v>
      </c>
      <c r="E18" s="59" t="str">
        <f>IFERROR(__xludf.DUMMYFUNCTION("""COMPUTED_VALUE"""),"https://scholar.google.com/citations?hl=en&amp;view_op=list_hcore&amp;venue=_XEusYoPeXgJ.2023")</f>
        <v>https://scholar.google.com/citations?hl=en&amp;view_op=list_hcore&amp;venue=_XEusYoPeXgJ.2023</v>
      </c>
      <c r="F18" s="109"/>
      <c r="I18" s="60" t="str">
        <f>IFERROR(__xludf.DUMMYFUNCTION("""COMPUTED_VALUE"""),"https://dblp.org/db/conf/im/index.html")</f>
        <v>https://dblp.org/db/conf/im/index.html</v>
      </c>
    </row>
    <row r="19">
      <c r="A19" s="110" t="str">
        <f>IFERROR(__xludf.DUMMYFUNCTION("""COMPUTED_VALUE"""),"Top 20")</f>
        <v>Top 20</v>
      </c>
      <c r="B19" s="30" t="str">
        <f>IFERROR(__xludf.DUMMYFUNCTION("""COMPUTED_VALUE"""),"HOTNETS")</f>
        <v>HOTNETS</v>
      </c>
      <c r="C19" s="63" t="str">
        <f>IFERROR(__xludf.DUMMYFUNCTION("""COMPUTED_VALUE"""),"ACM Workshop on Hot Topics in Networks")</f>
        <v>ACM Workshop on Hot Topics in Networks</v>
      </c>
      <c r="D19" s="108">
        <f>IFERROR(__xludf.DUMMYFUNCTION("""COMPUTED_VALUE"""),23.0)</f>
        <v>23</v>
      </c>
      <c r="E19" s="59" t="str">
        <f>IFERROR(__xludf.DUMMYFUNCTION("""COMPUTED_VALUE"""),"https://scholar.google.com.br/citations?hl=en&amp;view_op=list_hcore&amp;venue=wWkh60cbs_oJ.2023")</f>
        <v>https://scholar.google.com.br/citations?hl=en&amp;view_op=list_hcore&amp;venue=wWkh60cbs_oJ.2023</v>
      </c>
      <c r="F19" s="109"/>
      <c r="I19" s="60" t="str">
        <f>IFERROR(__xludf.DUMMYFUNCTION("""COMPUTED_VALUE"""),"https://dblp.org/db/conf/hotnets/index.html")</f>
        <v>https://dblp.org/db/conf/hotnets/index.html</v>
      </c>
    </row>
    <row r="20">
      <c r="A20" s="110" t="str">
        <f>IFERROR(__xludf.DUMMYFUNCTION("""COMPUTED_VALUE"""),"Top 20")</f>
        <v>Top 20</v>
      </c>
      <c r="B20" s="111" t="str">
        <f>IFERROR(__xludf.DUMMYFUNCTION("""COMPUTED_VALUE"""),"Networking")</f>
        <v>Networking</v>
      </c>
      <c r="C20" s="112" t="str">
        <f>IFERROR(__xludf.DUMMYFUNCTION("""COMPUTED_VALUE"""),"IFIP Networking Conference")</f>
        <v>IFIP Networking Conference</v>
      </c>
      <c r="D20" s="108">
        <f>IFERROR(__xludf.DUMMYFUNCTION("""COMPUTED_VALUE"""),22.0)</f>
        <v>22</v>
      </c>
      <c r="E20" s="59" t="str">
        <f>IFERROR(__xludf.DUMMYFUNCTION("""COMPUTED_VALUE"""),"https://scholar.google.com/citations?hl=en&amp;view_op=list_hcore&amp;venue=OK3y4P6IJ9EJ.2023")</f>
        <v>https://scholar.google.com/citations?hl=en&amp;view_op=list_hcore&amp;venue=OK3y4P6IJ9EJ.2023</v>
      </c>
      <c r="F20" s="30"/>
      <c r="I20" s="60" t="str">
        <f>IFERROR(__xludf.DUMMYFUNCTION("""COMPUTED_VALUE"""),"https://dblp.org/db/conf/networking/index.html")</f>
        <v>https://dblp.org/db/conf/networking/index.html</v>
      </c>
    </row>
    <row r="21">
      <c r="A21" s="110" t="str">
        <f>IFERROR(__xludf.DUMMYFUNCTION("""COMPUTED_VALUE"""),"Top 20")</f>
        <v>Top 20</v>
      </c>
      <c r="B21" s="111" t="str">
        <f>IFERROR(__xludf.DUMMYFUNCTION("""COMPUTED_VALUE"""),"SBRC")</f>
        <v>SBRC</v>
      </c>
      <c r="C21" s="112" t="str">
        <f>IFERROR(__xludf.DUMMYFUNCTION("""COMPUTED_VALUE"""),"Simpósio Brasileiro de Redes de Computadores e Sistemas Distribuídos")</f>
        <v>Simpósio Brasileiro de Redes de Computadores e Sistemas Distribuídos</v>
      </c>
      <c r="D21" s="108">
        <f>IFERROR(__xludf.DUMMYFUNCTION("""COMPUTED_VALUE"""),8.0)</f>
        <v>8</v>
      </c>
      <c r="E21" s="59" t="str">
        <f>IFERROR(__xludf.DUMMYFUNCTION("""COMPUTED_VALUE"""),"https://scholar.google.com.br/citations?hl=pt-BR&amp;view_op=list_hcore&amp;venue=3vnP2ksW2eAJ.2023")</f>
        <v>https://scholar.google.com.br/citations?hl=pt-BR&amp;view_op=list_hcore&amp;venue=3vnP2ksW2eAJ.2023</v>
      </c>
      <c r="F21" s="30"/>
      <c r="I21" s="60" t="str">
        <f>IFERROR(__xludf.DUMMYFUNCTION("""COMPUTED_VALUE"""),"https://sol.sbc.org.br/index.php/sbrc")</f>
        <v>https://sol.sbc.org.br/index.php/sbrc</v>
      </c>
      <c r="J21" s="60" t="str">
        <f>IFERROR(__xludf.DUMMYFUNCTION("""COMPUTED_VALUE"""),"https://dblp.org/db/conf/sbrc/index.html")</f>
        <v>https://dblp.org/db/conf/sbrc/index.html</v>
      </c>
    </row>
    <row r="22">
      <c r="A22" s="110" t="str">
        <f>IFERROR(__xludf.DUMMYFUNCTION("""COMPUTED_VALUE"""),"Top, mas é jovem")</f>
        <v>Top, mas é jovem</v>
      </c>
      <c r="B22" s="30" t="str">
        <f>IFERROR(__xludf.DUMMYFUNCTION("""COMPUTED_VALUE"""),"SOSR")</f>
        <v>SOSR</v>
      </c>
      <c r="C22" s="30" t="str">
        <f>IFERROR(__xludf.DUMMYFUNCTION("""COMPUTED_VALUE"""),"Symposium on Software Defined Networking Research")</f>
        <v>Symposium on Software Defined Networking Research</v>
      </c>
      <c r="D22" s="108" t="str">
        <f>IFERROR(__xludf.DUMMYFUNCTION("""COMPUTED_VALUE"""),"?")</f>
        <v>?</v>
      </c>
      <c r="E22" s="59" t="str">
        <f>IFERROR(__xludf.DUMMYFUNCTION("""COMPUTED_VALUE"""),"?")</f>
        <v>?</v>
      </c>
      <c r="F22" s="109"/>
      <c r="I22" s="60" t="str">
        <f>IFERROR(__xludf.DUMMYFUNCTION("""COMPUTED_VALUE"""),"https://dblp.org/db/conf/sosr/index.html")</f>
        <v>https://dblp.org/db/conf/sosr/index.html</v>
      </c>
    </row>
    <row r="23">
      <c r="A23" s="113" t="str">
        <f>IFERROR(__xludf.DUMMYFUNCTION("""COMPUTED_VALUE"""),"Top, mas não é core")</f>
        <v>Top, mas não é core</v>
      </c>
      <c r="B23" s="30" t="str">
        <f>IFERROR(__xludf.DUMMYFUNCTION("""COMPUTED_VALUE"""),"SOSP")</f>
        <v>SOSP</v>
      </c>
      <c r="C23" s="30" t="str">
        <f>IFERROR(__xludf.DUMMYFUNCTION("""COMPUTED_VALUE"""),"ACM Symposium on Operating Systems Principles")</f>
        <v>ACM Symposium on Operating Systems Principles</v>
      </c>
      <c r="D23" s="108" t="str">
        <f>IFERROR(__xludf.DUMMYFUNCTION("""COMPUTED_VALUE"""),"?")</f>
        <v>?</v>
      </c>
      <c r="E23" s="59" t="str">
        <f>IFERROR(__xludf.DUMMYFUNCTION("""COMPUTED_VALUE"""),"Não encontrado no Google Scholar")</f>
        <v>Não encontrado no Google Scholar</v>
      </c>
      <c r="F23" s="109"/>
      <c r="I23" s="60" t="str">
        <f>IFERROR(__xludf.DUMMYFUNCTION("""COMPUTED_VALUE"""),"https://dblp.org/db/conf/sosp/index.html")</f>
        <v>https://dblp.org/db/conf/sosp/index.html</v>
      </c>
    </row>
    <row r="24">
      <c r="A24" s="89" t="str">
        <f>IFERROR(__xludf.DUMMYFUNCTION("""COMPUTED_VALUE"""),"Top, mas não é core")</f>
        <v>Top, mas não é core</v>
      </c>
      <c r="B24" s="57" t="str">
        <f>IFERROR(__xludf.DUMMYFUNCTION("""COMPUTED_VALUE"""),"WWW")</f>
        <v>WWW</v>
      </c>
      <c r="C24" s="57" t="str">
        <f>IFERROR(__xludf.DUMMYFUNCTION("""COMPUTED_VALUE"""),"International World Wide Web Conferences")</f>
        <v>International World Wide Web Conferences</v>
      </c>
      <c r="D24" s="67">
        <f>IFERROR(__xludf.DUMMYFUNCTION("""COMPUTED_VALUE"""),106.0)</f>
        <v>106</v>
      </c>
      <c r="E24" s="59" t="str">
        <f>IFERROR(__xludf.DUMMYFUNCTION("""COMPUTED_VALUE"""),"https://scholar.google.com.br/citations?hl=en&amp;view_op=list_hcore&amp;venue=VtCeQ7ShDloJ.2023")</f>
        <v>https://scholar.google.com.br/citations?hl=en&amp;view_op=list_hcore&amp;venue=VtCeQ7ShDloJ.2023</v>
      </c>
      <c r="F24" s="114"/>
      <c r="I24" s="60" t="str">
        <f>IFERROR(__xludf.DUMMYFUNCTION("""COMPUTED_VALUE"""),"https://dblp.org/db/conf/www/index.html")</f>
        <v>https://dblp.org/db/conf/www/index.html</v>
      </c>
    </row>
    <row r="25">
      <c r="A25" s="89" t="str">
        <f>IFERROR(__xludf.DUMMYFUNCTION("""COMPUTED_VALUE"""),"Top, mas não é core")</f>
        <v>Top, mas não é core</v>
      </c>
      <c r="B25" s="57" t="str">
        <f>IFERROR(__xludf.DUMMYFUNCTION("""COMPUTED_VALUE"""),"S&amp;P")</f>
        <v>S&amp;P</v>
      </c>
      <c r="C25" s="57" t="str">
        <f>IFERROR(__xludf.DUMMYFUNCTION("""COMPUTED_VALUE"""),"IEEE Symposium on Security and Privacy")</f>
        <v>IEEE Symposium on Security and Privacy</v>
      </c>
      <c r="D25" s="67">
        <f>IFERROR(__xludf.DUMMYFUNCTION("""COMPUTED_VALUE"""),98.0)</f>
        <v>98</v>
      </c>
      <c r="E25" s="59" t="str">
        <f>IFERROR(__xludf.DUMMYFUNCTION("""COMPUTED_VALUE"""),"https://scholar.google.com.br/citations?hl=en&amp;view_op=list_hcore&amp;venue=cyrroHz3a0YJ.2023")</f>
        <v>https://scholar.google.com.br/citations?hl=en&amp;view_op=list_hcore&amp;venue=cyrroHz3a0YJ.2023</v>
      </c>
      <c r="F25" s="114"/>
      <c r="I25" s="60" t="str">
        <f>IFERROR(__xludf.DUMMYFUNCTION("""COMPUTED_VALUE"""),"https://dblp.org/db/conf/sp/index.html")</f>
        <v>https://dblp.org/db/conf/sp/index.html</v>
      </c>
    </row>
    <row r="26">
      <c r="A26" s="89" t="str">
        <f>IFERROR(__xludf.DUMMYFUNCTION("""COMPUTED_VALUE"""),"Top, mas não é core")</f>
        <v>Top, mas não é core</v>
      </c>
      <c r="B26" s="57" t="str">
        <f>IFERROR(__xludf.DUMMYFUNCTION("""COMPUTED_VALUE"""),"CCS")</f>
        <v>CCS</v>
      </c>
      <c r="C26" s="57" t="str">
        <f>IFERROR(__xludf.DUMMYFUNCTION("""COMPUTED_VALUE"""),"ACM Symposium on Computer and Communications Security")</f>
        <v>ACM Symposium on Computer and Communications Security</v>
      </c>
      <c r="D26" s="67">
        <f>IFERROR(__xludf.DUMMYFUNCTION("""COMPUTED_VALUE"""),93.0)</f>
        <v>93</v>
      </c>
      <c r="E26" s="59" t="str">
        <f>IFERROR(__xludf.DUMMYFUNCTION("""COMPUTED_VALUE"""),"https://scholar.google.com.br/citations?hl=en&amp;view_op=list_hcore&amp;venue=Pg42P_rbavwJ.2023")</f>
        <v>https://scholar.google.com.br/citations?hl=en&amp;view_op=list_hcore&amp;venue=Pg42P_rbavwJ.2023</v>
      </c>
      <c r="F26" s="115"/>
      <c r="I26" s="60" t="str">
        <f>IFERROR(__xludf.DUMMYFUNCTION("""COMPUTED_VALUE"""),"https://dblp.org/db/conf/ccs/index.html")</f>
        <v>https://dblp.org/db/conf/ccs/index.html</v>
      </c>
    </row>
    <row r="27">
      <c r="A27" s="89" t="str">
        <f>IFERROR(__xludf.DUMMYFUNCTION("""COMPUTED_VALUE"""),"Top, mas não é core")</f>
        <v>Top, mas não é core</v>
      </c>
      <c r="B27" s="30" t="str">
        <f>IFERROR(__xludf.DUMMYFUNCTION("""COMPUTED_VALUE"""),"USENIX Security")</f>
        <v>USENIX Security</v>
      </c>
      <c r="C27" s="30" t="str">
        <f>IFERROR(__xludf.DUMMYFUNCTION("""COMPUTED_VALUE"""),"USENIX Security Symposium")</f>
        <v>USENIX Security Symposium</v>
      </c>
      <c r="D27" s="108">
        <f>IFERROR(__xludf.DUMMYFUNCTION("""COMPUTED_VALUE"""),92.0)</f>
        <v>92</v>
      </c>
      <c r="E27" s="59" t="str">
        <f>IFERROR(__xludf.DUMMYFUNCTION("""COMPUTED_VALUE"""),"https://scholar.google.com.br/citations?hl=en&amp;view_op=list_hcore&amp;venue=HSHJIaLyN9IJ.2023")</f>
        <v>https://scholar.google.com.br/citations?hl=en&amp;view_op=list_hcore&amp;venue=HSHJIaLyN9IJ.2023</v>
      </c>
      <c r="F27" s="114"/>
      <c r="I27" s="60" t="str">
        <f>IFERROR(__xludf.DUMMYFUNCTION("""COMPUTED_VALUE"""),"https://dblp.org/db/conf/uss/index.html")</f>
        <v>https://dblp.org/db/conf/uss/index.html</v>
      </c>
    </row>
    <row r="28">
      <c r="A28" s="89" t="str">
        <f>IFERROR(__xludf.DUMMYFUNCTION("""COMPUTED_VALUE"""),"Top, mas não é core")</f>
        <v>Top, mas não é core</v>
      </c>
      <c r="B28" s="30" t="str">
        <f>IFERROR(__xludf.DUMMYFUNCTION("""COMPUTED_VALUE"""),"NDSS")</f>
        <v>NDSS</v>
      </c>
      <c r="C28" s="30" t="str">
        <f>IFERROR(__xludf.DUMMYFUNCTION("""COMPUTED_VALUE"""),"Network and Distributed System Security Symposium")</f>
        <v>Network and Distributed System Security Symposium</v>
      </c>
      <c r="D28" s="108">
        <f>IFERROR(__xludf.DUMMYFUNCTION("""COMPUTED_VALUE"""),78.0)</f>
        <v>78</v>
      </c>
      <c r="E28" s="59" t="str">
        <f>IFERROR(__xludf.DUMMYFUNCTION("""COMPUTED_VALUE"""),"https://scholar.google.com.br/citations?hl=en&amp;view_op=list_hcore&amp;venue=q2FcImd5qbgJ.2023")</f>
        <v>https://scholar.google.com.br/citations?hl=en&amp;view_op=list_hcore&amp;venue=q2FcImd5qbgJ.2023</v>
      </c>
      <c r="F28" s="114"/>
      <c r="I28" s="60" t="str">
        <f>IFERROR(__xludf.DUMMYFUNCTION("""COMPUTED_VALUE"""),"https://dblp.org/db/conf/ndss/index.html")</f>
        <v>https://dblp.org/db/conf/ndss/index.html</v>
      </c>
    </row>
    <row r="29">
      <c r="A29" s="89" t="str">
        <f>IFERROR(__xludf.DUMMYFUNCTION("""COMPUTED_VALUE"""),"Top, mas não é core")</f>
        <v>Top, mas não é core</v>
      </c>
      <c r="B29" s="30" t="str">
        <f>IFERROR(__xludf.DUMMYFUNCTION("""COMPUTED_VALUE"""),"ATC")</f>
        <v>ATC</v>
      </c>
      <c r="C29" s="30" t="str">
        <f>IFERROR(__xludf.DUMMYFUNCTION("""COMPUTED_VALUE"""),"USENIX Annual Technical Conference")</f>
        <v>USENIX Annual Technical Conference</v>
      </c>
      <c r="D29" s="108">
        <f>IFERROR(__xludf.DUMMYFUNCTION("""COMPUTED_VALUE"""),59.0)</f>
        <v>59</v>
      </c>
      <c r="E29" s="59" t="str">
        <f>IFERROR(__xludf.DUMMYFUNCTION("""COMPUTED_VALUE"""),"https://scholar.google.com/citations?hl=en&amp;view_op=list_hcore&amp;venue=UoM6MOnWKE8J.2023")</f>
        <v>https://scholar.google.com/citations?hl=en&amp;view_op=list_hcore&amp;venue=UoM6MOnWKE8J.2023</v>
      </c>
      <c r="F29" s="114"/>
      <c r="I29" s="60" t="str">
        <f>IFERROR(__xludf.DUMMYFUNCTION("""COMPUTED_VALUE"""),"https://dblp.org/db/conf/atc/index.html")</f>
        <v>https://dblp.org/db/conf/atc/index.html</v>
      </c>
    </row>
    <row r="30">
      <c r="A30" s="89" t="str">
        <f>IFERROR(__xludf.DUMMYFUNCTION("""COMPUTED_VALUE"""),"Top, mas não é core")</f>
        <v>Top, mas não é core</v>
      </c>
      <c r="B30" s="112" t="str">
        <f>IFERROR(__xludf.DUMMYFUNCTION("""COMPUTED_VALUE"""),"ITSC")</f>
        <v>ITSC</v>
      </c>
      <c r="C30" s="111" t="str">
        <f>IFERROR(__xludf.DUMMYFUNCTION("""COMPUTED_VALUE"""),"IEEE ITSC Intelligent Transportation Systems Conference")</f>
        <v>IEEE ITSC Intelligent Transportation Systems Conference</v>
      </c>
      <c r="D30" s="108">
        <f>IFERROR(__xludf.DUMMYFUNCTION("""COMPUTED_VALUE"""),58.0)</f>
        <v>58</v>
      </c>
      <c r="E30" s="59" t="str">
        <f>IFERROR(__xludf.DUMMYFUNCTION("""COMPUTED_VALUE"""),"https://scholar.google.com/citations?hl=en&amp;view_op=list_hcore&amp;venue=F_tKvHBbkU8J.2023")</f>
        <v>https://scholar.google.com/citations?hl=en&amp;view_op=list_hcore&amp;venue=F_tKvHBbkU8J.2023</v>
      </c>
      <c r="F30" s="114"/>
      <c r="I30" s="60" t="str">
        <f>IFERROR(__xludf.DUMMYFUNCTION("""COMPUTED_VALUE"""),"https://dblp.org/db/conf/itsc/index.html")</f>
        <v>https://dblp.org/db/conf/itsc/index.html</v>
      </c>
    </row>
    <row r="31">
      <c r="A31" s="89" t="str">
        <f>IFERROR(__xludf.DUMMYFUNCTION("""COMPUTED_VALUE"""),"Top, mas não é core")</f>
        <v>Top, mas não é core</v>
      </c>
      <c r="B31" s="57" t="str">
        <f>IFERROR(__xludf.DUMMYFUNCTION("""COMPUTED_VALUE"""),"OSDI")</f>
        <v>OSDI</v>
      </c>
      <c r="C31" s="57" t="str">
        <f>IFERROR(__xludf.DUMMYFUNCTION("""COMPUTED_VALUE"""),"USENIX Symposium on Operating Systems Design and Implementation")</f>
        <v>USENIX Symposium on Operating Systems Design and Implementation</v>
      </c>
      <c r="D31" s="67">
        <f>IFERROR(__xludf.DUMMYFUNCTION("""COMPUTED_VALUE"""),55.0)</f>
        <v>55</v>
      </c>
      <c r="E31" s="59" t="str">
        <f>IFERROR(__xludf.DUMMYFUNCTION("""COMPUTED_VALUE"""),"https://scholar.google.com.br/citations?hl=en&amp;view_op=list_hcore&amp;venue=nZZ8G3Einp0J.2023")</f>
        <v>https://scholar.google.com.br/citations?hl=en&amp;view_op=list_hcore&amp;venue=nZZ8G3Einp0J.2023</v>
      </c>
      <c r="F31" s="115"/>
      <c r="I31" s="60" t="str">
        <f>IFERROR(__xludf.DUMMYFUNCTION("""COMPUTED_VALUE"""),"https://dblp.org/db/conf/osdi/index.html")</f>
        <v>https://dblp.org/db/conf/osdi/index.html</v>
      </c>
    </row>
    <row r="32">
      <c r="A32" s="89" t="str">
        <f>IFERROR(__xludf.DUMMYFUNCTION("""COMPUTED_VALUE"""),"Top, mas não é core")</f>
        <v>Top, mas não é core</v>
      </c>
      <c r="B32" s="57" t="str">
        <f>IFERROR(__xludf.DUMMYFUNCTION("""COMPUTED_VALUE"""),"EUROSYS")</f>
        <v>EUROSYS</v>
      </c>
      <c r="C32" s="57" t="str">
        <f>IFERROR(__xludf.DUMMYFUNCTION("""COMPUTED_VALUE"""),"European Conference on Computer Systems")</f>
        <v>European Conference on Computer Systems</v>
      </c>
      <c r="D32" s="67">
        <f>IFERROR(__xludf.DUMMYFUNCTION("""COMPUTED_VALUE"""),47.0)</f>
        <v>47</v>
      </c>
      <c r="E32" s="59" t="str">
        <f>IFERROR(__xludf.DUMMYFUNCTION("""COMPUTED_VALUE"""),"https://scholar.google.com/citations?hl=en&amp;view_op=list_hcore&amp;venue=8LhhnAnPYO8J.2023")</f>
        <v>https://scholar.google.com/citations?hl=en&amp;view_op=list_hcore&amp;venue=8LhhnAnPYO8J.2023</v>
      </c>
      <c r="F32" s="115"/>
      <c r="I32" s="60" t="str">
        <f>IFERROR(__xludf.DUMMYFUNCTION("""COMPUTED_VALUE"""),"https://dblp.org/db/conf/eurosys/index.html")</f>
        <v>https://dblp.org/db/conf/eurosys/index.html</v>
      </c>
    </row>
    <row r="33">
      <c r="A33" s="89" t="str">
        <f>IFERROR(__xludf.DUMMYFUNCTION("""COMPUTED_VALUE"""),"Top, mas não é core")</f>
        <v>Top, mas não é core</v>
      </c>
      <c r="B33" s="57" t="str">
        <f>IFERROR(__xludf.DUMMYFUNCTION("""COMPUTED_VALUE"""),"VTC")</f>
        <v>VTC</v>
      </c>
      <c r="C33" s="57" t="str">
        <f>IFERROR(__xludf.DUMMYFUNCTION("""COMPUTED_VALUE"""),"Vehicular Technology Conference")</f>
        <v>Vehicular Technology Conference</v>
      </c>
      <c r="D33" s="67">
        <f>IFERROR(__xludf.DUMMYFUNCTION("""COMPUTED_VALUE"""),45.0)</f>
        <v>45</v>
      </c>
      <c r="E33" s="59" t="str">
        <f>IFERROR(__xludf.DUMMYFUNCTION("""COMPUTED_VALUE"""),"https://scholar.google.com.br/citations?hl=en&amp;view_op=list_hcore&amp;venue=Y0aL1yWCdxkJ.2023")</f>
        <v>https://scholar.google.com.br/citations?hl=en&amp;view_op=list_hcore&amp;venue=Y0aL1yWCdxkJ.2023</v>
      </c>
      <c r="F33" s="114"/>
      <c r="I33" s="60" t="str">
        <f>IFERROR(__xludf.DUMMYFUNCTION("""COMPUTED_VALUE"""),"https://dblp.org/db/conf/vtc/index.html")</f>
        <v>https://dblp.org/db/conf/vtc/index.html</v>
      </c>
    </row>
    <row r="34">
      <c r="A34" s="89" t="str">
        <f>IFERROR(__xludf.DUMMYFUNCTION("""COMPUTED_VALUE"""),"Top, mas não é core")</f>
        <v>Top, mas não é core</v>
      </c>
      <c r="B34" s="30" t="str">
        <f>IFERROR(__xludf.DUMMYFUNCTION("""COMPUTED_VALUE"""),"SIGMETRICS")</f>
        <v>SIGMETRICS</v>
      </c>
      <c r="C34" s="30" t="str">
        <f>IFERROR(__xludf.DUMMYFUNCTION("""COMPUTED_VALUE"""),"International Conference on Measurement and Modeling of Computer Systems")</f>
        <v>International Conference on Measurement and Modeling of Computer Systems</v>
      </c>
      <c r="D34" s="108">
        <f>IFERROR(__xludf.DUMMYFUNCTION("""COMPUTED_VALUE"""),40.0)</f>
        <v>40</v>
      </c>
      <c r="E34" s="59" t="str">
        <f>IFERROR(__xludf.DUMMYFUNCTION("""COMPUTED_VALUE"""),"https://scholar.google.com.br/citations?hl=pt-BR&amp;view_op=list_hcore&amp;venue=J5PknEi03ZcJ.2023")</f>
        <v>https://scholar.google.com.br/citations?hl=pt-BR&amp;view_op=list_hcore&amp;venue=J5PknEi03ZcJ.2023</v>
      </c>
      <c r="F34" s="114"/>
      <c r="I34" s="60" t="str">
        <f>IFERROR(__xludf.DUMMYFUNCTION("""COMPUTED_VALUE"""),"https://dblp.org/db/conf/sigmetrics/index.html")</f>
        <v>https://dblp.org/db/conf/sigmetrics/index.html</v>
      </c>
    </row>
    <row r="35">
      <c r="A35" s="89" t="str">
        <f>IFERROR(__xludf.DUMMYFUNCTION("""COMPUTED_VALUE"""),"Top, mas não é core")</f>
        <v>Top, mas não é core</v>
      </c>
      <c r="B35" s="30" t="str">
        <f>IFERROR(__xludf.DUMMYFUNCTION("""COMPUTED_VALUE"""),"IPDPS")</f>
        <v>IPDPS</v>
      </c>
      <c r="C35" s="30" t="str">
        <f>IFERROR(__xludf.DUMMYFUNCTION("""COMPUTED_VALUE"""),"IEEE International Parallel &amp; Distributed Processing Symposium")</f>
        <v>IEEE International Parallel &amp; Distributed Processing Symposium</v>
      </c>
      <c r="D35" s="108">
        <f>IFERROR(__xludf.DUMMYFUNCTION("""COMPUTED_VALUE"""),38.0)</f>
        <v>38</v>
      </c>
      <c r="E35" s="59" t="str">
        <f>IFERROR(__xludf.DUMMYFUNCTION("""COMPUTED_VALUE"""),"https://scholar.google.com.br/citations?hl=en&amp;view_op=list_hcore&amp;venue=Cge5_JoKLicJ.2023")</f>
        <v>https://scholar.google.com.br/citations?hl=en&amp;view_op=list_hcore&amp;venue=Cge5_JoKLicJ.2023</v>
      </c>
      <c r="F35" s="114"/>
      <c r="I35" s="60" t="str">
        <f>IFERROR(__xludf.DUMMYFUNCTION("""COMPUTED_VALUE"""),"https://dblp.org/db/conf/ipdps/index.html")</f>
        <v>https://dblp.org/db/conf/ipdps/index.html</v>
      </c>
    </row>
    <row r="36">
      <c r="A36" s="89" t="str">
        <f>IFERROR(__xludf.DUMMYFUNCTION("""COMPUTED_VALUE"""),"Top, mas não é core")</f>
        <v>Top, mas não é core</v>
      </c>
      <c r="B36" s="112" t="str">
        <f>IFERROR(__xludf.DUMMYFUNCTION("""COMPUTED_VALUE"""),"DSN")</f>
        <v>DSN</v>
      </c>
      <c r="C36" s="111" t="str">
        <f>IFERROR(__xludf.DUMMYFUNCTION("""COMPUTED_VALUE"""),"Annual IEEE/IFIP International Conference on Dependable Systems and Networks")</f>
        <v>Annual IEEE/IFIP International Conference on Dependable Systems and Networks</v>
      </c>
      <c r="D36" s="108">
        <f>IFERROR(__xludf.DUMMYFUNCTION("""COMPUTED_VALUE"""),37.0)</f>
        <v>37</v>
      </c>
      <c r="E36" s="59" t="str">
        <f>IFERROR(__xludf.DUMMYFUNCTION("""COMPUTED_VALUE"""),"https://scholar.google.com/citations?hl=en&amp;view_op=list_hcore&amp;venue=MVYbyyKMpToJ.2023")</f>
        <v>https://scholar.google.com/citations?hl=en&amp;view_op=list_hcore&amp;venue=MVYbyyKMpToJ.2023</v>
      </c>
      <c r="F36" s="114"/>
      <c r="I36" s="60" t="str">
        <f>IFERROR(__xludf.DUMMYFUNCTION("""COMPUTED_VALUE"""),"https://dblp.org/db/conf/dsn/index.html")</f>
        <v>https://dblp.org/db/conf/dsn/index.html</v>
      </c>
    </row>
    <row r="37">
      <c r="A37" s="89" t="str">
        <f>IFERROR(__xludf.DUMMYFUNCTION("""COMPUTED_VALUE"""),"Top, mas não é core")</f>
        <v>Top, mas não é core</v>
      </c>
      <c r="B37" s="30" t="str">
        <f>IFERROR(__xludf.DUMMYFUNCTION("""COMPUTED_VALUE"""),"ACMSOCC")</f>
        <v>ACMSOCC</v>
      </c>
      <c r="C37" s="30" t="str">
        <f>IFERROR(__xludf.DUMMYFUNCTION("""COMPUTED_VALUE"""),"ACM Symposium on Cloud Computing")</f>
        <v>ACM Symposium on Cloud Computing</v>
      </c>
      <c r="D37" s="108">
        <f>IFERROR(__xludf.DUMMYFUNCTION("""COMPUTED_VALUE"""),35.0)</f>
        <v>35</v>
      </c>
      <c r="E37" s="59" t="str">
        <f>IFERROR(__xludf.DUMMYFUNCTION("""COMPUTED_VALUE"""),"https://scholar.google.com/citations?hl=en&amp;view_op=list_hcore&amp;venue=o1durVJyeP4J.2023")</f>
        <v>https://scholar.google.com/citations?hl=en&amp;view_op=list_hcore&amp;venue=o1durVJyeP4J.2023</v>
      </c>
      <c r="F37" s="114"/>
      <c r="I37" s="60" t="str">
        <f>IFERROR(__xludf.DUMMYFUNCTION("""COMPUTED_VALUE"""),"https://dblp.org/db/conf/cloud/index.html")</f>
        <v>https://dblp.org/db/conf/cloud/index.html</v>
      </c>
    </row>
    <row r="38">
      <c r="A38" s="89" t="str">
        <f>IFERROR(__xludf.DUMMYFUNCTION("""COMPUTED_VALUE"""),"Top, mas não é core")</f>
        <v>Top, mas não é core</v>
      </c>
      <c r="B38" s="30" t="str">
        <f>IFERROR(__xludf.DUMMYFUNCTION("""COMPUTED_VALUE"""),"IEEECLOUD")</f>
        <v>IEEECLOUD</v>
      </c>
      <c r="C38" s="30" t="str">
        <f>IFERROR(__xludf.DUMMYFUNCTION("""COMPUTED_VALUE"""),"IEEE International Conference on Cloud Computing")</f>
        <v>IEEE International Conference on Cloud Computing</v>
      </c>
      <c r="D38" s="108">
        <f>IFERROR(__xludf.DUMMYFUNCTION("""COMPUTED_VALUE"""),34.0)</f>
        <v>34</v>
      </c>
      <c r="E38" s="59" t="str">
        <f>IFERROR(__xludf.DUMMYFUNCTION("""COMPUTED_VALUE"""),"https://scholar.google.com/citations?hl=en&amp;view_op=list_hcore&amp;venue=ioohKoS5imcJ.2023")</f>
        <v>https://scholar.google.com/citations?hl=en&amp;view_op=list_hcore&amp;venue=ioohKoS5imcJ.2023</v>
      </c>
      <c r="F38" s="114"/>
      <c r="I38" s="60" t="str">
        <f>IFERROR(__xludf.DUMMYFUNCTION("""COMPUTED_VALUE"""),"https://dblp.org/db/conf/ieeecloud/index.html")</f>
        <v>https://dblp.org/db/conf/ieeecloud/index.html</v>
      </c>
    </row>
    <row r="39">
      <c r="A39" s="89" t="str">
        <f>IFERROR(__xludf.DUMMYFUNCTION("""COMPUTED_VALUE"""),"Top, mas não é core")</f>
        <v>Top, mas não é core</v>
      </c>
      <c r="B39" s="57" t="str">
        <f>IFERROR(__xludf.DUMMYFUNCTION("""COMPUTED_VALUE"""),"BLOCKCHAIN")</f>
        <v>BLOCKCHAIN</v>
      </c>
      <c r="C39" s="57" t="str">
        <f>IFERROR(__xludf.DUMMYFUNCTION("""COMPUTED_VALUE"""),"IEEE International Conference on Blockchain")</f>
        <v>IEEE International Conference on Blockchain</v>
      </c>
      <c r="D39" s="67">
        <f>IFERROR(__xludf.DUMMYFUNCTION("""COMPUTED_VALUE"""),34.0)</f>
        <v>34</v>
      </c>
      <c r="E39" s="59" t="str">
        <f>IFERROR(__xludf.DUMMYFUNCTION("""COMPUTED_VALUE"""),"https://scholar.google.com/citations?hl=pt-BR&amp;view_op=list_hcore&amp;venue=DGN3r9u7HNQJ.2023")</f>
        <v>https://scholar.google.com/citations?hl=pt-BR&amp;view_op=list_hcore&amp;venue=DGN3r9u7HNQJ.2023</v>
      </c>
      <c r="F39" s="115"/>
      <c r="I39" s="60" t="str">
        <f>IFERROR(__xludf.DUMMYFUNCTION("""COMPUTED_VALUE"""),"https://dblp.org/db/conf/blockchain2/index.html")</f>
        <v>https://dblp.org/db/conf/blockchain2/index.html</v>
      </c>
    </row>
    <row r="40">
      <c r="A40" s="89" t="str">
        <f>IFERROR(__xludf.DUMMYFUNCTION("""COMPUTED_VALUE"""),"Top, mas não é core")</f>
        <v>Top, mas não é core</v>
      </c>
      <c r="B40" s="111" t="str">
        <f>IFERROR(__xludf.DUMMYFUNCTION("""COMPUTED_VALUE"""),"MMSYS")</f>
        <v>MMSYS</v>
      </c>
      <c r="C40" s="112" t="str">
        <f>IFERROR(__xludf.DUMMYFUNCTION("""COMPUTED_VALUE"""),"ACM Multimedia Systems Conference")</f>
        <v>ACM Multimedia Systems Conference</v>
      </c>
      <c r="D40" s="108">
        <f>IFERROR(__xludf.DUMMYFUNCTION("""COMPUTED_VALUE"""),33.0)</f>
        <v>33</v>
      </c>
      <c r="E40" s="59" t="str">
        <f>IFERROR(__xludf.DUMMYFUNCTION("""COMPUTED_VALUE"""),"https://scholar.google.com.br/citations?hl=en&amp;view_op=list_hcore&amp;venue=iRTf4ImdsEQJ.2023")</f>
        <v>https://scholar.google.com.br/citations?hl=en&amp;view_op=list_hcore&amp;venue=iRTf4ImdsEQJ.2023</v>
      </c>
      <c r="F40" s="114"/>
      <c r="I40" s="60" t="str">
        <f>IFERROR(__xludf.DUMMYFUNCTION("""COMPUTED_VALUE"""),"https://dblp.org/db/conf/mmsys/index.html")</f>
        <v>https://dblp.org/db/conf/mmsys/index.html</v>
      </c>
    </row>
    <row r="41">
      <c r="A41" s="89" t="str">
        <f>IFERROR(__xludf.DUMMYFUNCTION("""COMPUTED_VALUE"""),"Top, mas não é core")</f>
        <v>Top, mas não é core</v>
      </c>
      <c r="B41" s="30" t="str">
        <f>IFERROR(__xludf.DUMMYFUNCTION("""COMPUTED_VALUE"""),"UbiComp")</f>
        <v>UbiComp</v>
      </c>
      <c r="C41" s="30" t="str">
        <f>IFERROR(__xludf.DUMMYFUNCTION("""COMPUTED_VALUE"""),"ACM International Joint Conference on Pervasive and Ubiquitous Computing")</f>
        <v>ACM International Joint Conference on Pervasive and Ubiquitous Computing</v>
      </c>
      <c r="D41" s="108">
        <f>IFERROR(__xludf.DUMMYFUNCTION("""COMPUTED_VALUE"""),31.0)</f>
        <v>31</v>
      </c>
      <c r="E41" s="59" t="str">
        <f>IFERROR(__xludf.DUMMYFUNCTION("""COMPUTED_VALUE"""),"https://scholar.google.com.br/citations?hl=en&amp;view_op=list_hcore&amp;venue=K6EHRjh8bWIJ.2023")</f>
        <v>https://scholar.google.com.br/citations?hl=en&amp;view_op=list_hcore&amp;venue=K6EHRjh8bWIJ.2023</v>
      </c>
      <c r="F41" s="114"/>
      <c r="I41" s="60" t="str">
        <f>IFERROR(__xludf.DUMMYFUNCTION("""COMPUTED_VALUE"""),"https://dblp.org/db/conf/huc/index.html")</f>
        <v>https://dblp.org/db/conf/huc/index.html</v>
      </c>
    </row>
    <row r="42">
      <c r="A42" s="89" t="str">
        <f>IFERROR(__xludf.DUMMYFUNCTION("""COMPUTED_VALUE"""),"Top, mas não é core")</f>
        <v>Top, mas não é core</v>
      </c>
      <c r="B42" s="63" t="str">
        <f>IFERROR(__xludf.DUMMYFUNCTION("""COMPUTED_VALUE"""),"ICBC")</f>
        <v>ICBC</v>
      </c>
      <c r="C42" s="63" t="str">
        <f>IFERROR(__xludf.DUMMYFUNCTION("""COMPUTED_VALUE"""),"IEEE International Conference on Blockchain and Cryptocurrency")</f>
        <v>IEEE International Conference on Blockchain and Cryptocurrency</v>
      </c>
      <c r="D42" s="108">
        <f>IFERROR(__xludf.DUMMYFUNCTION("""COMPUTED_VALUE"""),31.0)</f>
        <v>31</v>
      </c>
      <c r="E42" s="59" t="str">
        <f>IFERROR(__xludf.DUMMYFUNCTION("""COMPUTED_VALUE"""),"https://scholar.google.com/citations?hl=pt-BR&amp;view_op=list_hcore&amp;venue=Hh3XGFymILkJ.2023")</f>
        <v>https://scholar.google.com/citations?hl=pt-BR&amp;view_op=list_hcore&amp;venue=Hh3XGFymILkJ.2023</v>
      </c>
      <c r="F42" s="114"/>
      <c r="I42" s="60" t="str">
        <f>IFERROR(__xludf.DUMMYFUNCTION("""COMPUTED_VALUE"""),"https://dblp.org/db/conf/icbc2/index.html")</f>
        <v>https://dblp.org/db/conf/icbc2/index.html</v>
      </c>
    </row>
    <row r="43">
      <c r="A43" s="89" t="str">
        <f>IFERROR(__xludf.DUMMYFUNCTION("""COMPUTED_VALUE"""),"Top, mas não é core")</f>
        <v>Top, mas não é core</v>
      </c>
      <c r="B43" s="112" t="str">
        <f>IFERROR(__xludf.DUMMYFUNCTION("""COMPUTED_VALUE"""),"ALLERTON")</f>
        <v>ALLERTON</v>
      </c>
      <c r="C43" s="111" t="str">
        <f>IFERROR(__xludf.DUMMYFUNCTION("""COMPUTED_VALUE"""),"Allerton Conference on Communication, Control, and Computing")</f>
        <v>Allerton Conference on Communication, Control, and Computing</v>
      </c>
      <c r="D43" s="108">
        <f>IFERROR(__xludf.DUMMYFUNCTION("""COMPUTED_VALUE"""),28.0)</f>
        <v>28</v>
      </c>
      <c r="E43" s="59" t="str">
        <f>IFERROR(__xludf.DUMMYFUNCTION("""COMPUTED_VALUE"""),"https://scholar.google.com.br/citations?hl=en&amp;view_op=list_hcore&amp;venue=HbOjoTJcHB8J.2023")</f>
        <v>https://scholar.google.com.br/citations?hl=en&amp;view_op=list_hcore&amp;venue=HbOjoTJcHB8J.2023</v>
      </c>
      <c r="F43" s="114"/>
      <c r="I43" s="60" t="str">
        <f>IFERROR(__xludf.DUMMYFUNCTION("""COMPUTED_VALUE"""),"https://dblp.org/db/conf/allerton/index.html")</f>
        <v>https://dblp.org/db/conf/allerton/index.html</v>
      </c>
    </row>
    <row r="44">
      <c r="A44" s="89" t="str">
        <f>IFERROR(__xludf.DUMMYFUNCTION("""COMPUTED_VALUE"""),"Top, mas não é core")</f>
        <v>Top, mas não é core</v>
      </c>
      <c r="B44" s="112" t="str">
        <f>IFERROR(__xludf.DUMMYFUNCTION("""COMPUTED_VALUE"""),"PERCOM")</f>
        <v>PERCOM</v>
      </c>
      <c r="C44" s="111" t="str">
        <f>IFERROR(__xludf.DUMMYFUNCTION("""COMPUTED_VALUE"""),"International Conference on Pervasive Computing and Communications")</f>
        <v>International Conference on Pervasive Computing and Communications</v>
      </c>
      <c r="D44" s="108">
        <f>IFERROR(__xludf.DUMMYFUNCTION("""COMPUTED_VALUE"""),26.0)</f>
        <v>26</v>
      </c>
      <c r="E44" s="59" t="str">
        <f>IFERROR(__xludf.DUMMYFUNCTION("""COMPUTED_VALUE"""),"https://scholar.google.com/citations?hl=en&amp;view_op=list_hcore&amp;venue=gauoYMg7lZMJ.2023")</f>
        <v>https://scholar.google.com/citations?hl=en&amp;view_op=list_hcore&amp;venue=gauoYMg7lZMJ.2023</v>
      </c>
      <c r="F44" s="114"/>
      <c r="I44" s="60" t="str">
        <f>IFERROR(__xludf.DUMMYFUNCTION("""COMPUTED_VALUE"""),"https://dblp.org/db/conf/percom/index.html")</f>
        <v>https://dblp.org/db/conf/percom/index.html</v>
      </c>
    </row>
    <row r="45">
      <c r="A45" s="89" t="str">
        <f>IFERROR(__xludf.DUMMYFUNCTION("""COMPUTED_VALUE"""),"Top, mas não é core")</f>
        <v>Top, mas não é core</v>
      </c>
      <c r="B45" s="112" t="str">
        <f>IFERROR(__xludf.DUMMYFUNCTION("""COMPUTED_VALUE"""),"CCGrid")</f>
        <v>CCGrid</v>
      </c>
      <c r="C45" s="111" t="str">
        <f>IFERROR(__xludf.DUMMYFUNCTION("""COMPUTED_VALUE"""),"IEEE/ACM International Symposium on Cluster, Cloud and Grid Computing")</f>
        <v>IEEE/ACM International Symposium on Cluster, Cloud and Grid Computing</v>
      </c>
      <c r="D45" s="108">
        <f>IFERROR(__xludf.DUMMYFUNCTION("""COMPUTED_VALUE"""),24.0)</f>
        <v>24</v>
      </c>
      <c r="E45" s="59" t="str">
        <f>IFERROR(__xludf.DUMMYFUNCTION("""COMPUTED_VALUE"""),"https://scholar.google.com/citations?hl=en&amp;view_op=list_hcore&amp;venue=_IeLSKDu4j0J.2023")</f>
        <v>https://scholar.google.com/citations?hl=en&amp;view_op=list_hcore&amp;venue=_IeLSKDu4j0J.2023</v>
      </c>
      <c r="F45" s="114"/>
      <c r="I45" s="60" t="str">
        <f>IFERROR(__xludf.DUMMYFUNCTION("""COMPUTED_VALUE"""),"https://dblp.org/db/conf/ccgrid/index.html")</f>
        <v>https://dblp.org/db/conf/ccgrid/index.html</v>
      </c>
    </row>
    <row r="46">
      <c r="A46" s="89" t="str">
        <f>IFERROR(__xludf.DUMMYFUNCTION("""COMPUTED_VALUE"""),"Top, mas não é core")</f>
        <v>Top, mas não é core</v>
      </c>
      <c r="B46" s="112" t="str">
        <f>IFERROR(__xludf.DUMMYFUNCTION("""COMPUTED_VALUE"""),"SPAA")</f>
        <v>SPAA</v>
      </c>
      <c r="C46" s="112" t="str">
        <f>IFERROR(__xludf.DUMMYFUNCTION("""COMPUTED_VALUE"""),"ACM Symposium on Parallelism in Algorithms and Architectures")</f>
        <v>ACM Symposium on Parallelism in Algorithms and Architectures</v>
      </c>
      <c r="D46" s="108">
        <f>IFERROR(__xludf.DUMMYFUNCTION("""COMPUTED_VALUE"""),24.0)</f>
        <v>24</v>
      </c>
      <c r="E46" s="59" t="str">
        <f>IFERROR(__xludf.DUMMYFUNCTION("""COMPUTED_VALUE"""),"https://scholar.google.com.br/citations?hl=en&amp;view_op=list_hcore&amp;venue=siTGI384Pw4J.2023")</f>
        <v>https://scholar.google.com.br/citations?hl=en&amp;view_op=list_hcore&amp;venue=siTGI384Pw4J.2023</v>
      </c>
      <c r="F46" s="114"/>
      <c r="I46" s="60" t="str">
        <f>IFERROR(__xludf.DUMMYFUNCTION("""COMPUTED_VALUE"""),"https://dblp.org/db/conf/spaa/index.html")</f>
        <v>https://dblp.org/db/conf/spaa/index.html</v>
      </c>
    </row>
    <row r="47">
      <c r="A47" s="89" t="str">
        <f>IFERROR(__xludf.DUMMYFUNCTION("""COMPUTED_VALUE"""),"Top, mas não é core")</f>
        <v>Top, mas não é core</v>
      </c>
      <c r="B47" s="57" t="str">
        <f>IFERROR(__xludf.DUMMYFUNCTION("""COMPUTED_VALUE"""),"HPDC")</f>
        <v>HPDC</v>
      </c>
      <c r="C47" s="57" t="str">
        <f>IFERROR(__xludf.DUMMYFUNCTION("""COMPUTED_VALUE"""),"International Symposium on High Performance Distributed Computing")</f>
        <v>International Symposium on High Performance Distributed Computing</v>
      </c>
      <c r="D47" s="67">
        <f>IFERROR(__xludf.DUMMYFUNCTION("""COMPUTED_VALUE"""),23.0)</f>
        <v>23</v>
      </c>
      <c r="E47" s="59" t="str">
        <f>IFERROR(__xludf.DUMMYFUNCTION("""COMPUTED_VALUE"""),"https://scholar.google.com.br/citations?hl=en&amp;view_op=list_hcore&amp;venue=VcBBCUw4gmMJ.2023")</f>
        <v>https://scholar.google.com.br/citations?hl=en&amp;view_op=list_hcore&amp;venue=VcBBCUw4gmMJ.2023</v>
      </c>
      <c r="F47" s="115"/>
      <c r="I47" s="60" t="str">
        <f>IFERROR(__xludf.DUMMYFUNCTION("""COMPUTED_VALUE"""),"https://dblp.org/db/conf/hpdc/index.html")</f>
        <v>https://dblp.org/db/conf/hpdc/index.html</v>
      </c>
    </row>
    <row r="48">
      <c r="A48" s="89" t="str">
        <f>IFERROR(__xludf.DUMMYFUNCTION("""COMPUTED_VALUE"""),"Top, mas não é core")</f>
        <v>Top, mas não é core</v>
      </c>
      <c r="B48" s="57" t="str">
        <f>IFERROR(__xludf.DUMMYFUNCTION("""COMPUTED_VALUE"""),"MIDDLEWARE")</f>
        <v>MIDDLEWARE</v>
      </c>
      <c r="C48" s="57" t="str">
        <f>IFERROR(__xludf.DUMMYFUNCTION("""COMPUTED_VALUE"""),"International Middleware Conference")</f>
        <v>International Middleware Conference</v>
      </c>
      <c r="D48" s="67">
        <f>IFERROR(__xludf.DUMMYFUNCTION("""COMPUTED_VALUE"""),22.0)</f>
        <v>22</v>
      </c>
      <c r="E48" s="59" t="str">
        <f>IFERROR(__xludf.DUMMYFUNCTION("""COMPUTED_VALUE"""),"https://scholar.google.com.br/citations?hl=en&amp;view_op=list_hcore&amp;venue=NA4iP0Rm0toJ.2023")</f>
        <v>https://scholar.google.com.br/citations?hl=en&amp;view_op=list_hcore&amp;venue=NA4iP0Rm0toJ.2023</v>
      </c>
      <c r="F48" s="115"/>
      <c r="I48" s="60" t="str">
        <f>IFERROR(__xludf.DUMMYFUNCTION("""COMPUTED_VALUE"""),"https://dblp.org/db/conf/middleware/index.html")</f>
        <v>https://dblp.org/db/conf/middleware/index.html</v>
      </c>
    </row>
    <row r="49">
      <c r="A49" s="116" t="str">
        <f>IFERROR(__xludf.DUMMYFUNCTION("""COMPUTED_VALUE"""),"Top, mas não é core")</f>
        <v>Top, mas não é core</v>
      </c>
      <c r="B49" s="111" t="str">
        <f>IFERROR(__xludf.DUMMYFUNCTION("""COMPUTED_VALUE"""),"PDP")</f>
        <v>PDP</v>
      </c>
      <c r="C49" s="112" t="str">
        <f>IFERROR(__xludf.DUMMYFUNCTION("""COMPUTED_VALUE"""),"Euromicro International Conference on Parallel, Distributed and Network-Based Processing")</f>
        <v>Euromicro International Conference on Parallel, Distributed and Network-Based Processing</v>
      </c>
      <c r="D49" s="108">
        <f>IFERROR(__xludf.DUMMYFUNCTION("""COMPUTED_VALUE"""),20.0)</f>
        <v>20</v>
      </c>
      <c r="E49" s="59" t="str">
        <f>IFERROR(__xludf.DUMMYFUNCTION("""COMPUTED_VALUE"""),"https://scholar.google.com.br/citations?hl=en&amp;view_op=list_hcore&amp;venue=YhI5DwI2n2gJ.2023")</f>
        <v>https://scholar.google.com.br/citations?hl=en&amp;view_op=list_hcore&amp;venue=YhI5DwI2n2gJ.2023</v>
      </c>
      <c r="F49" s="57"/>
      <c r="I49" s="60" t="str">
        <f>IFERROR(__xludf.DUMMYFUNCTION("""COMPUTED_VALUE"""),"https://dblp.org/db/conf/pdp/index.html")</f>
        <v>https://dblp.org/db/conf/pdp/index.html</v>
      </c>
    </row>
    <row r="50">
      <c r="A50" s="116" t="str">
        <f>IFERROR(__xludf.DUMMYFUNCTION("""COMPUTED_VALUE"""),"Top, mas não é core")</f>
        <v>Top, mas não é core</v>
      </c>
      <c r="B50" s="57" t="str">
        <f>IFERROR(__xludf.DUMMYFUNCTION("""COMPUTED_VALUE"""),"EUROPAR")</f>
        <v>EUROPAR</v>
      </c>
      <c r="C50" s="57" t="str">
        <f>IFERROR(__xludf.DUMMYFUNCTION("""COMPUTED_VALUE"""),"European Conference on Parallel Computing")</f>
        <v>European Conference on Parallel Computing</v>
      </c>
      <c r="D50" s="67">
        <f>IFERROR(__xludf.DUMMYFUNCTION("""COMPUTED_VALUE"""),19.0)</f>
        <v>19</v>
      </c>
      <c r="E50" s="59" t="str">
        <f>IFERROR(__xludf.DUMMYFUNCTION("""COMPUTED_VALUE"""),"https://scholar.google.com.br/citations?hl=en&amp;view_op=list_hcore&amp;venue=tOMY2Y_aVTMJ.2023")</f>
        <v>https://scholar.google.com.br/citations?hl=en&amp;view_op=list_hcore&amp;venue=tOMY2Y_aVTMJ.2023</v>
      </c>
      <c r="F50" s="57"/>
      <c r="I50" s="60" t="str">
        <f>IFERROR(__xludf.DUMMYFUNCTION("""COMPUTED_VALUE"""),"https://dblp.org/db/conf/europar/index.html")</f>
        <v>https://dblp.org/db/conf/europar/index.html</v>
      </c>
    </row>
    <row r="51">
      <c r="A51" s="116" t="str">
        <f>IFERROR(__xludf.DUMMYFUNCTION("""COMPUTED_VALUE"""),"Top, mas não é core")</f>
        <v>Top, mas não é core</v>
      </c>
      <c r="B51" s="111" t="str">
        <f>IFERROR(__xludf.DUMMYFUNCTION("""COMPUTED_VALUE"""),"SRDS")</f>
        <v>SRDS</v>
      </c>
      <c r="C51" s="112" t="str">
        <f>IFERROR(__xludf.DUMMYFUNCTION("""COMPUTED_VALUE"""),"IEEE Symposium on Reliable Distributed Systems")</f>
        <v>IEEE Symposium on Reliable Distributed Systems</v>
      </c>
      <c r="D51" s="108">
        <f>IFERROR(__xludf.DUMMYFUNCTION("""COMPUTED_VALUE"""),18.0)</f>
        <v>18</v>
      </c>
      <c r="E51" s="59" t="str">
        <f>IFERROR(__xludf.DUMMYFUNCTION("""COMPUTED_VALUE"""),"https://scholar.google.com.br/citations?hl=en&amp;view_op=list_hcore&amp;venue=f5ybybsCQdkJ.2023")</f>
        <v>https://scholar.google.com.br/citations?hl=en&amp;view_op=list_hcore&amp;venue=f5ybybsCQdkJ.2023</v>
      </c>
      <c r="F51" s="30"/>
      <c r="I51" s="60" t="str">
        <f>IFERROR(__xludf.DUMMYFUNCTION("""COMPUTED_VALUE"""),"https://dblp.org/db/conf/srds/index.html")</f>
        <v>https://dblp.org/db/conf/srds/index.html</v>
      </c>
    </row>
    <row r="52">
      <c r="A52" s="116" t="str">
        <f>IFERROR(__xludf.DUMMYFUNCTION("""COMPUTED_VALUE"""),"Eventos da Área")</f>
        <v>Eventos da Área</v>
      </c>
      <c r="B52" s="111" t="str">
        <f>IFERROR(__xludf.DUMMYFUNCTION("""COMPUTED_VALUE"""),"WF-IoT")</f>
        <v>WF-IoT</v>
      </c>
      <c r="C52" s="112" t="str">
        <f>IFERROR(__xludf.DUMMYFUNCTION("""COMPUTED_VALUE"""),"World Forum on Internet of Things")</f>
        <v>World Forum on Internet of Things</v>
      </c>
      <c r="D52" s="108">
        <f>IFERROR(__xludf.DUMMYFUNCTION("""COMPUTED_VALUE"""),38.0)</f>
        <v>38</v>
      </c>
      <c r="E52" s="59" t="str">
        <f>IFERROR(__xludf.DUMMYFUNCTION("""COMPUTED_VALUE"""),"https://scholar.google.com.br/citations?hl=pt-BR&amp;view_op=list_hcore&amp;venue=gSjQo1cwB88J.2023")</f>
        <v>https://scholar.google.com.br/citations?hl=pt-BR&amp;view_op=list_hcore&amp;venue=gSjQo1cwB88J.2023</v>
      </c>
      <c r="F52" s="30"/>
      <c r="I52" s="60" t="str">
        <f>IFERROR(__xludf.DUMMYFUNCTION("""COMPUTED_VALUE"""),"https://dblp.org/db/conf/wf-iot/index.html")</f>
        <v>https://dblp.org/db/conf/wf-iot/index.html</v>
      </c>
    </row>
    <row r="53">
      <c r="A53" s="116" t="str">
        <f>IFERROR(__xludf.DUMMYFUNCTION("""COMPUTED_VALUE"""),"Eventos da Área")</f>
        <v>Eventos da Área</v>
      </c>
      <c r="B53" s="111" t="str">
        <f>IFERROR(__xludf.DUMMYFUNCTION("""COMPUTED_VALUE"""),"CCNC")</f>
        <v>CCNC</v>
      </c>
      <c r="C53" s="112" t="str">
        <f>IFERROR(__xludf.DUMMYFUNCTION("""COMPUTED_VALUE"""),"Annual IEEE Consumer Communications &amp; Networking Conference")</f>
        <v>Annual IEEE Consumer Communications &amp; Networking Conference</v>
      </c>
      <c r="D53" s="108">
        <f>IFERROR(__xludf.DUMMYFUNCTION("""COMPUTED_VALUE"""),33.0)</f>
        <v>33</v>
      </c>
      <c r="E53" s="59" t="str">
        <f>IFERROR(__xludf.DUMMYFUNCTION("""COMPUTED_VALUE"""),"https://scholar.google.com.br/citations?hl=en&amp;view_op=list_hcore&amp;venue=IzHKIKh35TsJ.2023")</f>
        <v>https://scholar.google.com.br/citations?hl=en&amp;view_op=list_hcore&amp;venue=IzHKIKh35TsJ.2023</v>
      </c>
      <c r="F53" s="30"/>
      <c r="I53" s="60" t="str">
        <f>IFERROR(__xludf.DUMMYFUNCTION("""COMPUTED_VALUE"""),"https://dblp.org/db/conf/ccnc/index.html")</f>
        <v>https://dblp.org/db/conf/ccnc/index.html</v>
      </c>
    </row>
    <row r="54">
      <c r="A54" s="116" t="str">
        <f>IFERROR(__xludf.DUMMYFUNCTION("""COMPUTED_VALUE"""),"Eventos da Área")</f>
        <v>Eventos da Área</v>
      </c>
      <c r="B54" s="30" t="str">
        <f>IFERROR(__xludf.DUMMYFUNCTION("""COMPUTED_VALUE"""),"NOMS")</f>
        <v>NOMS</v>
      </c>
      <c r="C54" s="30" t="str">
        <f>IFERROR(__xludf.DUMMYFUNCTION("""COMPUTED_VALUE"""),"IEEE/IFIP Network Operations and Management Symposium")</f>
        <v>IEEE/IFIP Network Operations and Management Symposium</v>
      </c>
      <c r="D54" s="108">
        <f>IFERROR(__xludf.DUMMYFUNCTION("""COMPUTED_VALUE"""),32.0)</f>
        <v>32</v>
      </c>
      <c r="E54" s="59" t="str">
        <f>IFERROR(__xludf.DUMMYFUNCTION("""COMPUTED_VALUE"""),"https://scholar.google.com.br/citations?hl=en&amp;view_op=list_hcore&amp;venue=DWJBNISV1bQJ.2023")</f>
        <v>https://scholar.google.com.br/citations?hl=en&amp;view_op=list_hcore&amp;venue=DWJBNISV1bQJ.2023</v>
      </c>
      <c r="F54" s="30"/>
      <c r="I54" s="60" t="str">
        <f>IFERROR(__xludf.DUMMYFUNCTION("""COMPUTED_VALUE"""),"https://dblp.org/db/conf/noms/index.html")</f>
        <v>https://dblp.org/db/conf/noms/index.html</v>
      </c>
    </row>
    <row r="55">
      <c r="A55" s="116" t="str">
        <f>IFERROR(__xludf.DUMMYFUNCTION("""COMPUTED_VALUE"""),"Eventos da Área")</f>
        <v>Eventos da Área</v>
      </c>
      <c r="B55" s="111" t="str">
        <f>IFERROR(__xludf.DUMMYFUNCTION("""COMPUTED_VALUE"""),"IWCMC")</f>
        <v>IWCMC</v>
      </c>
      <c r="C55" s="112" t="str">
        <f>IFERROR(__xludf.DUMMYFUNCTION("""COMPUTED_VALUE"""),"International Wireless Communications and Mobile Computing Conference")</f>
        <v>International Wireless Communications and Mobile Computing Conference</v>
      </c>
      <c r="D55" s="108">
        <f>IFERROR(__xludf.DUMMYFUNCTION("""COMPUTED_VALUE"""),31.0)</f>
        <v>31</v>
      </c>
      <c r="E55" s="59" t="str">
        <f>IFERROR(__xludf.DUMMYFUNCTION("""COMPUTED_VALUE"""),"https://scholar.google.com.br/citations?hl=en&amp;view_op=list_hcore&amp;venue=VmAg1pGpY18J.2023")</f>
        <v>https://scholar.google.com.br/citations?hl=en&amp;view_op=list_hcore&amp;venue=VmAg1pGpY18J.2023</v>
      </c>
      <c r="F55" s="30"/>
      <c r="I55" s="60" t="str">
        <f>IFERROR(__xludf.DUMMYFUNCTION("""COMPUTED_VALUE"""),"https://dblp.org/db/conf/iwcmc/index.html")</f>
        <v>https://dblp.org/db/conf/iwcmc/index.html</v>
      </c>
    </row>
    <row r="56">
      <c r="A56" s="116" t="str">
        <f>IFERROR(__xludf.DUMMYFUNCTION("""COMPUTED_VALUE"""),"Eventos da Área")</f>
        <v>Eventos da Área</v>
      </c>
      <c r="B56" s="111" t="str">
        <f>IFERROR(__xludf.DUMMYFUNCTION("""COMPUTED_VALUE"""),"ISCC")</f>
        <v>ISCC</v>
      </c>
      <c r="C56" s="112" t="str">
        <f>IFERROR(__xludf.DUMMYFUNCTION("""COMPUTED_VALUE"""),"International Symposium on Computers and Communications")</f>
        <v>International Symposium on Computers and Communications</v>
      </c>
      <c r="D56" s="108">
        <f>IFERROR(__xludf.DUMMYFUNCTION("""COMPUTED_VALUE"""),27.0)</f>
        <v>27</v>
      </c>
      <c r="E56" s="59" t="str">
        <f>IFERROR(__xludf.DUMMYFUNCTION("""COMPUTED_VALUE"""),"https://scholar.google.com.br/citations?hl=en&amp;view_op=list_hcore&amp;venue=0jK8bHjCH68J.2023")</f>
        <v>https://scholar.google.com.br/citations?hl=en&amp;view_op=list_hcore&amp;venue=0jK8bHjCH68J.2023</v>
      </c>
      <c r="F56" s="30"/>
      <c r="I56" s="60" t="str">
        <f>IFERROR(__xludf.DUMMYFUNCTION("""COMPUTED_VALUE"""),"https://dblp.org/db/conf/iscc/index.html")</f>
        <v>https://dblp.org/db/conf/iscc/index.html</v>
      </c>
    </row>
    <row r="57">
      <c r="A57" s="116" t="str">
        <f>IFERROR(__xludf.DUMMYFUNCTION("""COMPUTED_VALUE"""),"Eventos da Área")</f>
        <v>Eventos da Área</v>
      </c>
      <c r="B57" s="111" t="str">
        <f>IFERROR(__xludf.DUMMYFUNCTION("""COMPUTED_VALUE"""),"SECON")</f>
        <v>SECON</v>
      </c>
      <c r="C57" s="112" t="str">
        <f>IFERROR(__xludf.DUMMYFUNCTION("""COMPUTED_VALUE"""),"IEEE International Conference on Sensing, Communication and Networking")</f>
        <v>IEEE International Conference on Sensing, Communication and Networking</v>
      </c>
      <c r="D57" s="108">
        <f>IFERROR(__xludf.DUMMYFUNCTION("""COMPUTED_VALUE"""),26.0)</f>
        <v>26</v>
      </c>
      <c r="E57" s="59" t="str">
        <f>IFERROR(__xludf.DUMMYFUNCTION("""COMPUTED_VALUE"""),"https://scholar.google.com.br/citations?hl=en&amp;view_op=list_hcore&amp;venue=Vhi1mcaJdXEJ.2023")</f>
        <v>https://scholar.google.com.br/citations?hl=en&amp;view_op=list_hcore&amp;venue=Vhi1mcaJdXEJ.2023</v>
      </c>
      <c r="F57" s="30"/>
      <c r="I57" s="60" t="str">
        <f>IFERROR(__xludf.DUMMYFUNCTION("""COMPUTED_VALUE"""),"https://dblp.org/db/conf/secon/index.html")</f>
        <v>https://dblp.org/db/conf/secon/index.html</v>
      </c>
    </row>
    <row r="58">
      <c r="A58" s="116" t="str">
        <f>IFERROR(__xludf.DUMMYFUNCTION("""COMPUTED_VALUE"""),"Eventos da Área")</f>
        <v>Eventos da Área</v>
      </c>
      <c r="B58" s="111" t="str">
        <f>IFERROR(__xludf.DUMMYFUNCTION("""COMPUTED_VALUE"""),"ICOIN")</f>
        <v>ICOIN</v>
      </c>
      <c r="C58" s="112" t="str">
        <f>IFERROR(__xludf.DUMMYFUNCTION("""COMPUTED_VALUE"""),"International Conference on Information Networking")</f>
        <v>International Conference on Information Networking</v>
      </c>
      <c r="D58" s="108">
        <f>IFERROR(__xludf.DUMMYFUNCTION("""COMPUTED_VALUE"""),26.0)</f>
        <v>26</v>
      </c>
      <c r="E58" s="59" t="str">
        <f>IFERROR(__xludf.DUMMYFUNCTION("""COMPUTED_VALUE"""),"https://scholar.google.com.br/citations?hl=en&amp;view_op=list_hcore&amp;venue=5Xez39t0_4UJ.2023")</f>
        <v>https://scholar.google.com.br/citations?hl=en&amp;view_op=list_hcore&amp;venue=5Xez39t0_4UJ.2023</v>
      </c>
      <c r="F58" s="30"/>
      <c r="I58" s="60" t="str">
        <f>IFERROR(__xludf.DUMMYFUNCTION("""COMPUTED_VALUE"""),"https://dblp.org/db/conf/icoin/index.html")</f>
        <v>https://dblp.org/db/conf/icoin/index.html</v>
      </c>
    </row>
    <row r="59">
      <c r="A59" s="116" t="str">
        <f>IFERROR(__xludf.DUMMYFUNCTION("""COMPUTED_VALUE"""),"Eventos da Área")</f>
        <v>Eventos da Área</v>
      </c>
      <c r="B59" s="111" t="str">
        <f>IFERROR(__xludf.DUMMYFUNCTION("""COMPUTED_VALUE"""),"COMSNETS")</f>
        <v>COMSNETS</v>
      </c>
      <c r="C59" s="112" t="str">
        <f>IFERROR(__xludf.DUMMYFUNCTION("""COMPUTED_VALUE"""),"International Conference on COMmunication Systems &amp; NETworkS")</f>
        <v>International Conference on COMmunication Systems &amp; NETworkS</v>
      </c>
      <c r="D59" s="108">
        <f>IFERROR(__xludf.DUMMYFUNCTION("""COMPUTED_VALUE"""),26.0)</f>
        <v>26</v>
      </c>
      <c r="E59" s="59" t="str">
        <f>IFERROR(__xludf.DUMMYFUNCTION("""COMPUTED_VALUE"""),"https://scholar.google.com.br/citations?hl=en&amp;view_op=list_hcore&amp;venue=zHwZkHkaM2EJ.2023")</f>
        <v>https://scholar.google.com.br/citations?hl=en&amp;view_op=list_hcore&amp;venue=zHwZkHkaM2EJ.2023</v>
      </c>
      <c r="F59" s="30"/>
      <c r="I59" s="60" t="str">
        <f>IFERROR(__xludf.DUMMYFUNCTION("""COMPUTED_VALUE"""),"https://dblp.org/db/conf/comsnets/index.html")</f>
        <v>https://dblp.org/db/conf/comsnets/index.html</v>
      </c>
    </row>
    <row r="60">
      <c r="A60" s="116" t="str">
        <f>IFERROR(__xludf.DUMMYFUNCTION("""COMPUTED_VALUE"""),"Eventos da Área")</f>
        <v>Eventos da Área</v>
      </c>
      <c r="B60" s="112" t="str">
        <f>IFERROR(__xludf.DUMMYFUNCTION("""COMPUTED_VALUE"""),"ICCCN")</f>
        <v>ICCCN</v>
      </c>
      <c r="C60" s="111" t="str">
        <f>IFERROR(__xludf.DUMMYFUNCTION("""COMPUTED_VALUE"""),"International Conference on Computer Communications and Networks")</f>
        <v>International Conference on Computer Communications and Networks</v>
      </c>
      <c r="D60" s="108">
        <f>IFERROR(__xludf.DUMMYFUNCTION("""COMPUTED_VALUE"""),26.0)</f>
        <v>26</v>
      </c>
      <c r="E60" s="59" t="str">
        <f>IFERROR(__xludf.DUMMYFUNCTION("""COMPUTED_VALUE"""),"https://scholar.google.com.br/citations?hl=en&amp;view_op=list_hcore&amp;venue=DstJkgVOjywJ.2023")</f>
        <v>https://scholar.google.com.br/citations?hl=en&amp;view_op=list_hcore&amp;venue=DstJkgVOjywJ.2023</v>
      </c>
      <c r="F60" s="30"/>
      <c r="I60" s="60" t="str">
        <f>IFERROR(__xludf.DUMMYFUNCTION("""COMPUTED_VALUE"""),"https://dblp.org/db/conf/icccn/index.html")</f>
        <v>https://dblp.org/db/conf/icccn/index.html</v>
      </c>
    </row>
    <row r="61">
      <c r="A61" s="116" t="str">
        <f>IFERROR(__xludf.DUMMYFUNCTION("""COMPUTED_VALUE"""),"Eventos da Área")</f>
        <v>Eventos da Área</v>
      </c>
      <c r="B61" s="111" t="str">
        <f>IFERROR(__xludf.DUMMYFUNCTION("""COMPUTED_VALUE"""),"WCNCW")</f>
        <v>WCNCW</v>
      </c>
      <c r="C61" s="112" t="str">
        <f>IFERROR(__xludf.DUMMYFUNCTION("""COMPUTED_VALUE"""),"IEEE Wireless Communications and Networking Conference Workshops")</f>
        <v>IEEE Wireless Communications and Networking Conference Workshops</v>
      </c>
      <c r="D61" s="108">
        <f>IFERROR(__xludf.DUMMYFUNCTION("""COMPUTED_VALUE"""),26.0)</f>
        <v>26</v>
      </c>
      <c r="E61" s="59" t="str">
        <f>IFERROR(__xludf.DUMMYFUNCTION("""COMPUTED_VALUE"""),"https://scholar.google.com.br/citations?hl=pt-BR&amp;view_op=list_hcore&amp;venue=fw0ZUVavHdsJ.2023")</f>
        <v>https://scholar.google.com.br/citations?hl=pt-BR&amp;view_op=list_hcore&amp;venue=fw0ZUVavHdsJ.2023</v>
      </c>
      <c r="F61" s="30"/>
      <c r="I61" s="60" t="str">
        <f>IFERROR(__xludf.DUMMYFUNCTION("""COMPUTED_VALUE"""),"https://dblp.org/db/conf/wcncw/index.html")</f>
        <v>https://dblp.org/db/conf/wcncw/index.html</v>
      </c>
    </row>
    <row r="62">
      <c r="A62" s="116" t="str">
        <f>IFERROR(__xludf.DUMMYFUNCTION("""COMPUTED_VALUE"""),"Eventos da Área")</f>
        <v>Eventos da Área</v>
      </c>
      <c r="B62" s="111" t="str">
        <f>IFERROR(__xludf.DUMMYFUNCTION("""COMPUTED_VALUE"""),"NetSoft")</f>
        <v>NetSoft</v>
      </c>
      <c r="C62" s="112" t="str">
        <f>IFERROR(__xludf.DUMMYFUNCTION("""COMPUTED_VALUE"""),"IEEE NetSoft Conference and Workshops")</f>
        <v>IEEE NetSoft Conference and Workshops</v>
      </c>
      <c r="D62" s="108">
        <f>IFERROR(__xludf.DUMMYFUNCTION("""COMPUTED_VALUE"""),26.0)</f>
        <v>26</v>
      </c>
      <c r="E62" s="59" t="str">
        <f>IFERROR(__xludf.DUMMYFUNCTION("""COMPUTED_VALUE"""),"https://scholar.google.com/citations?hl=en&amp;view_op=list_hcore&amp;venue=7uhFfRV5cUQJ.2023")</f>
        <v>https://scholar.google.com/citations?hl=en&amp;view_op=list_hcore&amp;venue=7uhFfRV5cUQJ.2023</v>
      </c>
      <c r="F62" s="30"/>
      <c r="I62" s="60" t="str">
        <f>IFERROR(__xludf.DUMMYFUNCTION("""COMPUTED_VALUE"""),"https://dblp.org/db/conf/netsoft/index.html")</f>
        <v>https://dblp.org/db/conf/netsoft/index.html</v>
      </c>
    </row>
    <row r="63">
      <c r="A63" s="116" t="str">
        <f>IFERROR(__xludf.DUMMYFUNCTION("""COMPUTED_VALUE"""),"Eventos da Área")</f>
        <v>Eventos da Área</v>
      </c>
      <c r="B63" s="30" t="str">
        <f>IFERROR(__xludf.DUMMYFUNCTION("""COMPUTED_VALUE"""),"SmartGridComm")</f>
        <v>SmartGridComm</v>
      </c>
      <c r="C63" s="30" t="str">
        <f>IFERROR(__xludf.DUMMYFUNCTION("""COMPUTED_VALUE"""),"IEEE International Conference on Smart Grid Communications")</f>
        <v>IEEE International Conference on Smart Grid Communications</v>
      </c>
      <c r="D63" s="108">
        <f>IFERROR(__xludf.DUMMYFUNCTION("""COMPUTED_VALUE"""),25.0)</f>
        <v>25</v>
      </c>
      <c r="E63" s="59" t="str">
        <f>IFERROR(__xludf.DUMMYFUNCTION("""COMPUTED_VALUE"""),"https://scholar.google.com.br/citations?hl=en&amp;view_op=list_hcore&amp;venue=SnwrCbSeOf8J.2023")</f>
        <v>https://scholar.google.com.br/citations?hl=en&amp;view_op=list_hcore&amp;venue=SnwrCbSeOf8J.2023</v>
      </c>
      <c r="F63" s="30"/>
      <c r="I63" s="60" t="str">
        <f>IFERROR(__xludf.DUMMYFUNCTION("""COMPUTED_VALUE"""),"https://dblp.org/db/conf/smartgridcomm/index.html")</f>
        <v>https://dblp.org/db/conf/smartgridcomm/index.html</v>
      </c>
    </row>
    <row r="64">
      <c r="A64" s="116" t="str">
        <f>IFERROR(__xludf.DUMMYFUNCTION("""COMPUTED_VALUE"""),"Eventos da Área")</f>
        <v>Eventos da Área</v>
      </c>
      <c r="B64" s="111" t="str">
        <f>IFERROR(__xludf.DUMMYFUNCTION("""COMPUTED_VALUE"""),"CAMAD")</f>
        <v>CAMAD</v>
      </c>
      <c r="C64" s="112" t="str">
        <f>IFERROR(__xludf.DUMMYFUNCTION("""COMPUTED_VALUE"""),"IEEE International Workshop on Computer Aided Modeling and Design of Communication Links and Networks")</f>
        <v>IEEE International Workshop on Computer Aided Modeling and Design of Communication Links and Networks</v>
      </c>
      <c r="D64" s="108">
        <f>IFERROR(__xludf.DUMMYFUNCTION("""COMPUTED_VALUE"""),25.0)</f>
        <v>25</v>
      </c>
      <c r="E64" s="59" t="str">
        <f>IFERROR(__xludf.DUMMYFUNCTION("""COMPUTED_VALUE"""),"https://scholar.google.com.br/citations?hl=pt-BR&amp;view_op=list_hcore&amp;venue=zsyVgJ0BX8MJ.2023")</f>
        <v>https://scholar.google.com.br/citations?hl=pt-BR&amp;view_op=list_hcore&amp;venue=zsyVgJ0BX8MJ.2023</v>
      </c>
      <c r="F64" s="30"/>
      <c r="I64" s="60" t="str">
        <f>IFERROR(__xludf.DUMMYFUNCTION("""COMPUTED_VALUE"""),"https://dblp.org/db/conf/camad/index.html")</f>
        <v>https://dblp.org/db/conf/camad/index.html</v>
      </c>
    </row>
    <row r="65">
      <c r="A65" s="116" t="str">
        <f>IFERROR(__xludf.DUMMYFUNCTION("""COMPUTED_VALUE"""),"Eventos da Área")</f>
        <v>Eventos da Área</v>
      </c>
      <c r="B65" s="111" t="str">
        <f>IFERROR(__xludf.DUMMYFUNCTION("""COMPUTED_VALUE"""),"WoWMoM")</f>
        <v>WoWMoM</v>
      </c>
      <c r="C65" s="112" t="str">
        <f>IFERROR(__xludf.DUMMYFUNCTION("""COMPUTED_VALUE"""),"International Symposium on a World of Wireless, Mobile and Multimedia Networks")</f>
        <v>International Symposium on a World of Wireless, Mobile and Multimedia Networks</v>
      </c>
      <c r="D65" s="108">
        <f>IFERROR(__xludf.DUMMYFUNCTION("""COMPUTED_VALUE"""),24.0)</f>
        <v>24</v>
      </c>
      <c r="E65" s="59" t="str">
        <f>IFERROR(__xludf.DUMMYFUNCTION("""COMPUTED_VALUE"""),"https://scholar.google.com.br/citations?hl=en&amp;view_op=list_hcore&amp;venue=N_9FWgf0qxMJ.2023")</f>
        <v>https://scholar.google.com.br/citations?hl=en&amp;view_op=list_hcore&amp;venue=N_9FWgf0qxMJ.2023</v>
      </c>
      <c r="F65" s="30"/>
      <c r="I65" s="60" t="str">
        <f>IFERROR(__xludf.DUMMYFUNCTION("""COMPUTED_VALUE"""),"https://dblp.org/db/conf/wowmom/index.html")</f>
        <v>https://dblp.org/db/conf/wowmom/index.html</v>
      </c>
    </row>
    <row r="66">
      <c r="A66" s="116" t="str">
        <f>IFERROR(__xludf.DUMMYFUNCTION("""COMPUTED_VALUE"""),"Eventos da Área")</f>
        <v>Eventos da Área</v>
      </c>
      <c r="B66" s="111" t="str">
        <f>IFERROR(__xludf.DUMMYFUNCTION("""COMPUTED_VALUE"""),"DISC")</f>
        <v>DISC</v>
      </c>
      <c r="C66" s="112" t="str">
        <f>IFERROR(__xludf.DUMMYFUNCTION("""COMPUTED_VALUE"""),"International Symposium on Distributed Computing")</f>
        <v>International Symposium on Distributed Computing</v>
      </c>
      <c r="D66" s="108">
        <f>IFERROR(__xludf.DUMMYFUNCTION("""COMPUTED_VALUE"""),24.0)</f>
        <v>24</v>
      </c>
      <c r="E66" s="59" t="str">
        <f>IFERROR(__xludf.DUMMYFUNCTION("""COMPUTED_VALUE"""),"https://scholar.google.com.br/citations?hl=en&amp;view_op=list_hcore&amp;venue=I09_2V3FJhwJ.2023")</f>
        <v>https://scholar.google.com.br/citations?hl=en&amp;view_op=list_hcore&amp;venue=I09_2V3FJhwJ.2023</v>
      </c>
      <c r="F66" s="30"/>
      <c r="I66" s="60" t="str">
        <f>IFERROR(__xludf.DUMMYFUNCTION("""COMPUTED_VALUE"""),"https://dblp.org/db/conf/disc/index.html")</f>
        <v>https://dblp.org/db/conf/disc/index.html</v>
      </c>
    </row>
    <row r="67">
      <c r="A67" s="116" t="str">
        <f>IFERROR(__xludf.DUMMYFUNCTION("""COMPUTED_VALUE"""),"Eventos da Área")</f>
        <v>Eventos da Área</v>
      </c>
      <c r="B67" s="111" t="str">
        <f>IFERROR(__xludf.DUMMYFUNCTION("""COMPUTED_VALUE"""),"EuCNC")</f>
        <v>EuCNC</v>
      </c>
      <c r="C67" s="112" t="str">
        <f>IFERROR(__xludf.DUMMYFUNCTION("""COMPUTED_VALUE"""),"European Conference on Networks and Communications")</f>
        <v>European Conference on Networks and Communications</v>
      </c>
      <c r="D67" s="108">
        <f>IFERROR(__xludf.DUMMYFUNCTION("""COMPUTED_VALUE"""),24.0)</f>
        <v>24</v>
      </c>
      <c r="E67" s="59" t="str">
        <f>IFERROR(__xludf.DUMMYFUNCTION("""COMPUTED_VALUE"""),"https://scholar.google.com.br/citations?hl=pt-BR&amp;view_op=list_hcore&amp;venue=NcKP0_ggixQJ.2023")</f>
        <v>https://scholar.google.com.br/citations?hl=pt-BR&amp;view_op=list_hcore&amp;venue=NcKP0_ggixQJ.2023</v>
      </c>
      <c r="F67" s="30"/>
      <c r="I67" s="60" t="str">
        <f>IFERROR(__xludf.DUMMYFUNCTION("""COMPUTED_VALUE"""),"https://dblp.org/db/conf/eucnc/index.html")</f>
        <v>https://dblp.org/db/conf/eucnc/index.html</v>
      </c>
    </row>
    <row r="68">
      <c r="A68" s="116" t="str">
        <f>IFERROR(__xludf.DUMMYFUNCTION("""COMPUTED_VALUE"""),"Eventos da Área")</f>
        <v>Eventos da Área</v>
      </c>
      <c r="B68" s="111" t="str">
        <f>IFERROR(__xludf.DUMMYFUNCTION("""COMPUTED_VALUE"""),"ISC2")</f>
        <v>ISC2</v>
      </c>
      <c r="C68" s="112" t="str">
        <f>IFERROR(__xludf.DUMMYFUNCTION("""COMPUTED_VALUE"""),"IEEE International Smart Cities Conference")</f>
        <v>IEEE International Smart Cities Conference</v>
      </c>
      <c r="D68" s="108">
        <f>IFERROR(__xludf.DUMMYFUNCTION("""COMPUTED_VALUE"""),24.0)</f>
        <v>24</v>
      </c>
      <c r="E68" s="59" t="str">
        <f>IFERROR(__xludf.DUMMYFUNCTION("""COMPUTED_VALUE"""),"https://scholar.google.com.br/citations?hl=pt-BR&amp;view_op=list_hcore&amp;venue=yFTutsygf2gJ.2023")</f>
        <v>https://scholar.google.com.br/citations?hl=pt-BR&amp;view_op=list_hcore&amp;venue=yFTutsygf2gJ.2023</v>
      </c>
      <c r="F68" s="30"/>
      <c r="I68" s="60" t="str">
        <f>IFERROR(__xludf.DUMMYFUNCTION("""COMPUTED_VALUE"""),"https://dblp.org/db/conf/isc2/index.html")</f>
        <v>https://dblp.org/db/conf/isc2/index.html</v>
      </c>
    </row>
    <row r="69">
      <c r="A69" s="116" t="str">
        <f>IFERROR(__xludf.DUMMYFUNCTION("""COMPUTED_VALUE"""),"Eventos da Área")</f>
        <v>Eventos da Área</v>
      </c>
      <c r="B69" s="111" t="str">
        <f>IFERROR(__xludf.DUMMYFUNCTION("""COMPUTED_VALUE"""),"ISWCS")</f>
        <v>ISWCS</v>
      </c>
      <c r="C69" s="112" t="str">
        <f>IFERROR(__xludf.DUMMYFUNCTION("""COMPUTED_VALUE"""),"International Symposium on Wireless Communication Systems")</f>
        <v>International Symposium on Wireless Communication Systems</v>
      </c>
      <c r="D69" s="108">
        <f>IFERROR(__xludf.DUMMYFUNCTION("""COMPUTED_VALUE"""),23.0)</f>
        <v>23</v>
      </c>
      <c r="E69" s="59" t="str">
        <f>IFERROR(__xludf.DUMMYFUNCTION("""COMPUTED_VALUE"""),"https://scholar.google.com.br/citations?hl=en&amp;view_op=list_hcore&amp;venue=bKvDXIhWqbQJ.2023")</f>
        <v>https://scholar.google.com.br/citations?hl=en&amp;view_op=list_hcore&amp;venue=bKvDXIhWqbQJ.2023</v>
      </c>
      <c r="F69" s="30"/>
      <c r="I69" s="60" t="str">
        <f>IFERROR(__xludf.DUMMYFUNCTION("""COMPUTED_VALUE"""),"https://dblp.org/db/conf/iswcs/index.html")</f>
        <v>https://dblp.org/db/conf/iswcs/index.html</v>
      </c>
    </row>
    <row r="70">
      <c r="A70" s="116" t="str">
        <f>IFERROR(__xludf.DUMMYFUNCTION("""COMPUTED_VALUE"""),"Eventos da Área")</f>
        <v>Eventos da Área</v>
      </c>
      <c r="B70" s="57" t="str">
        <f>IFERROR(__xludf.DUMMYFUNCTION("""COMPUTED_VALUE"""),"UCC")</f>
        <v>UCC</v>
      </c>
      <c r="C70" s="57" t="str">
        <f>IFERROR(__xludf.DUMMYFUNCTION("""COMPUTED_VALUE"""),"IEEE/ACM International Conference on Utility and Cloud Computing")</f>
        <v>IEEE/ACM International Conference on Utility and Cloud Computing</v>
      </c>
      <c r="D70" s="67">
        <f>IFERROR(__xludf.DUMMYFUNCTION("""COMPUTED_VALUE"""),23.0)</f>
        <v>23</v>
      </c>
      <c r="E70" s="59" t="str">
        <f>IFERROR(__xludf.DUMMYFUNCTION("""COMPUTED_VALUE"""),"https://scholar.google.com.br/citations?hl=en&amp;view_op=list_hcore&amp;venue=gCzn4TRHFGQJ.2023")</f>
        <v>https://scholar.google.com.br/citations?hl=en&amp;view_op=list_hcore&amp;venue=gCzn4TRHFGQJ.2023</v>
      </c>
      <c r="F70" s="57"/>
      <c r="I70" s="60" t="str">
        <f>IFERROR(__xludf.DUMMYFUNCTION("""COMPUTED_VALUE"""),"https://dblp.org/db/conf/ucc/index.html")</f>
        <v>https://dblp.org/db/conf/ucc/index.html</v>
      </c>
    </row>
    <row r="71">
      <c r="A71" s="116" t="str">
        <f>IFERROR(__xludf.DUMMYFUNCTION("""COMPUTED_VALUE"""),"Eventos da Área")</f>
        <v>Eventos da Área</v>
      </c>
      <c r="B71" s="57" t="str">
        <f>IFERROR(__xludf.DUMMYFUNCTION("""COMPUTED_VALUE"""),"AINA")</f>
        <v>AINA</v>
      </c>
      <c r="C71" s="57" t="str">
        <f>IFERROR(__xludf.DUMMYFUNCTION("""COMPUTED_VALUE"""),"IEEE International Conference on Advanced Information Networking and Applications")</f>
        <v>IEEE International Conference on Advanced Information Networking and Applications</v>
      </c>
      <c r="D71" s="67">
        <f>IFERROR(__xludf.DUMMYFUNCTION("""COMPUTED_VALUE"""),22.0)</f>
        <v>22</v>
      </c>
      <c r="E71" s="59" t="str">
        <f>IFERROR(__xludf.DUMMYFUNCTION("""COMPUTED_VALUE"""),"https://scholar.google.com.br/citations?hl=en&amp;view_op=list_hcore&amp;venue=FBp6ksxIdQYJ.2023")</f>
        <v>https://scholar.google.com.br/citations?hl=en&amp;view_op=list_hcore&amp;venue=FBp6ksxIdQYJ.2023</v>
      </c>
      <c r="F71" s="57"/>
      <c r="I71" s="60" t="str">
        <f>IFERROR(__xludf.DUMMYFUNCTION("""COMPUTED_VALUE"""),"https://dblp.org/db/conf/aina/index.html")</f>
        <v>https://dblp.org/db/conf/aina/index.html</v>
      </c>
    </row>
    <row r="72">
      <c r="A72" s="116" t="str">
        <f>IFERROR(__xludf.DUMMYFUNCTION("""COMPUTED_VALUE"""),"Eventos da Área")</f>
        <v>Eventos da Área</v>
      </c>
      <c r="B72" s="30" t="str">
        <f>IFERROR(__xludf.DUMMYFUNCTION("""COMPUTED_VALUE"""),"ISGT")</f>
        <v>ISGT</v>
      </c>
      <c r="C72" s="30" t="str">
        <f>IFERROR(__xludf.DUMMYFUNCTION("""COMPUTED_VALUE"""),"IEEE PES Innovative Smart Grid Technologies")</f>
        <v>IEEE PES Innovative Smart Grid Technologies</v>
      </c>
      <c r="D72" s="108">
        <f>IFERROR(__xludf.DUMMYFUNCTION("""COMPUTED_VALUE"""),22.0)</f>
        <v>22</v>
      </c>
      <c r="E72" s="59" t="str">
        <f>IFERROR(__xludf.DUMMYFUNCTION("""COMPUTED_VALUE"""),"https://scholar.google.com.br/citations?hl=en&amp;view_op=list_hcore&amp;venue=9nASlar3rTYJ.2023")</f>
        <v>https://scholar.google.com.br/citations?hl=en&amp;view_op=list_hcore&amp;venue=9nASlar3rTYJ.2023</v>
      </c>
      <c r="F72" s="30"/>
      <c r="I72" s="60" t="str">
        <f>IFERROR(__xludf.DUMMYFUNCTION("""COMPUTED_VALUE"""),"https://dblp.org/db/conf/isgt/index.html")</f>
        <v>https://dblp.org/db/conf/isgt/index.html</v>
      </c>
    </row>
    <row r="73">
      <c r="A73" s="116" t="str">
        <f>IFERROR(__xludf.DUMMYFUNCTION("""COMPUTED_VALUE"""),"Eventos da Área")</f>
        <v>Eventos da Área</v>
      </c>
      <c r="B73" s="111" t="str">
        <f>IFERROR(__xludf.DUMMYFUNCTION("""COMPUTED_VALUE"""),"ISGT-Europe")</f>
        <v>ISGT-Europe</v>
      </c>
      <c r="C73" s="112" t="str">
        <f>IFERROR(__xludf.DUMMYFUNCTION("""COMPUTED_VALUE"""),"IEEE PES Innovative Smart Grid Technologies Conference Europe")</f>
        <v>IEEE PES Innovative Smart Grid Technologies Conference Europe</v>
      </c>
      <c r="D73" s="108">
        <f>IFERROR(__xludf.DUMMYFUNCTION("""COMPUTED_VALUE"""),22.0)</f>
        <v>22</v>
      </c>
      <c r="E73" s="59" t="str">
        <f>IFERROR(__xludf.DUMMYFUNCTION("""COMPUTED_VALUE"""),"https://scholar.google.com/citations?hl=en&amp;view_op=list_hcore&amp;venue=clIpBqTfgOsJ.2023")</f>
        <v>https://scholar.google.com/citations?hl=en&amp;view_op=list_hcore&amp;venue=clIpBqTfgOsJ.2023</v>
      </c>
      <c r="F73" s="30"/>
      <c r="I73" s="60" t="str">
        <f>IFERROR(__xludf.DUMMYFUNCTION("""COMPUTED_VALUE"""),"https://dblp.org/db/conf/isgteurope/index.html")</f>
        <v>https://dblp.org/db/conf/isgteurope/index.html</v>
      </c>
    </row>
    <row r="74">
      <c r="A74" s="116" t="str">
        <f>IFERROR(__xludf.DUMMYFUNCTION("""COMPUTED_VALUE"""),"Eventos da Área")</f>
        <v>Eventos da Área</v>
      </c>
      <c r="B74" s="57" t="str">
        <f>IFERROR(__xludf.DUMMYFUNCTION("""COMPUTED_VALUE"""),"DCOSS")</f>
        <v>DCOSS</v>
      </c>
      <c r="C74" s="57" t="str">
        <f>IFERROR(__xludf.DUMMYFUNCTION("""COMPUTED_VALUE"""),"International Conference on Distributed Computing in Sensor Systems")</f>
        <v>International Conference on Distributed Computing in Sensor Systems</v>
      </c>
      <c r="D74" s="67">
        <f>IFERROR(__xludf.DUMMYFUNCTION("""COMPUTED_VALUE"""),21.0)</f>
        <v>21</v>
      </c>
      <c r="E74" s="59" t="str">
        <f>IFERROR(__xludf.DUMMYFUNCTION("""COMPUTED_VALUE"""),"https://scholar.google.com.br/citations?hl=en&amp;view_op=list_hcore&amp;venue=ps72WqVeHX4J.2023")</f>
        <v>https://scholar.google.com.br/citations?hl=en&amp;view_op=list_hcore&amp;venue=ps72WqVeHX4J.2023</v>
      </c>
      <c r="F74" s="57"/>
      <c r="I74" s="60" t="str">
        <f>IFERROR(__xludf.DUMMYFUNCTION("""COMPUTED_VALUE"""),"https://dblp.org/db/conf/dcoss/index.html")</f>
        <v>https://dblp.org/db/conf/dcoss/index.html</v>
      </c>
    </row>
    <row r="75">
      <c r="A75" s="116" t="str">
        <f>IFERROR(__xludf.DUMMYFUNCTION("""COMPUTED_VALUE"""),"Eventos da Área")</f>
        <v>Eventos da Área</v>
      </c>
      <c r="B75" s="57" t="str">
        <f>IFERROR(__xludf.DUMMYFUNCTION("""COMPUTED_VALUE"""),"FiCloud")</f>
        <v>FiCloud</v>
      </c>
      <c r="C75" s="57" t="str">
        <f>IFERROR(__xludf.DUMMYFUNCTION("""COMPUTED_VALUE"""),"International Conference on Future Internet of Things and Cloud")</f>
        <v>International Conference on Future Internet of Things and Cloud</v>
      </c>
      <c r="D75" s="67">
        <f>IFERROR(__xludf.DUMMYFUNCTION("""COMPUTED_VALUE"""),21.0)</f>
        <v>21</v>
      </c>
      <c r="E75" s="59" t="str">
        <f>IFERROR(__xludf.DUMMYFUNCTION("""COMPUTED_VALUE"""),"https://scholar.google.com.br/citations?hl=en&amp;view_op=list_hcore&amp;venue=qesER2iEwMYJ.2023")</f>
        <v>https://scholar.google.com.br/citations?hl=en&amp;view_op=list_hcore&amp;venue=qesER2iEwMYJ.2023</v>
      </c>
      <c r="F75" s="57"/>
      <c r="I75" s="60" t="str">
        <f>IFERROR(__xludf.DUMMYFUNCTION("""COMPUTED_VALUE"""),"https://dblp.org/db/conf/ficloud/index.html")</f>
        <v>https://dblp.org/db/conf/ficloud/index.html</v>
      </c>
    </row>
    <row r="76">
      <c r="A76" s="116" t="str">
        <f>IFERROR(__xludf.DUMMYFUNCTION("""COMPUTED_VALUE"""),"Eventos da Área")</f>
        <v>Eventos da Área</v>
      </c>
      <c r="B76" s="111" t="str">
        <f>IFERROR(__xludf.DUMMYFUNCTION("""COMPUTED_VALUE"""),"DySPAN")</f>
        <v>DySPAN</v>
      </c>
      <c r="C76" s="30" t="str">
        <f>IFERROR(__xludf.DUMMYFUNCTION("""COMPUTED_VALUE"""),"IEEE Symposium on New Frontiers in Dynamic Spectrum Access Networks")</f>
        <v>IEEE Symposium on New Frontiers in Dynamic Spectrum Access Networks</v>
      </c>
      <c r="D76" s="108">
        <f>IFERROR(__xludf.DUMMYFUNCTION("""COMPUTED_VALUE"""),21.0)</f>
        <v>21</v>
      </c>
      <c r="E76" s="59" t="str">
        <f>IFERROR(__xludf.DUMMYFUNCTION("""COMPUTED_VALUE"""),"https://scholar.google.com.br/citations?hl=pt-BR&amp;view_op=list_hcore&amp;venue=0y6OyqiGt8MJ.2023")</f>
        <v>https://scholar.google.com.br/citations?hl=pt-BR&amp;view_op=list_hcore&amp;venue=0y6OyqiGt8MJ.2023</v>
      </c>
      <c r="F76" s="109"/>
      <c r="I76" s="60" t="str">
        <f>IFERROR(__xludf.DUMMYFUNCTION("""COMPUTED_VALUE"""),"https://dblp.org/db/conf/dyspan/index.html")</f>
        <v>https://dblp.org/db/conf/dyspan/index.html</v>
      </c>
    </row>
    <row r="77">
      <c r="A77" s="116" t="str">
        <f>IFERROR(__xludf.DUMMYFUNCTION("""COMPUTED_VALUE"""),"Eventos da Área")</f>
        <v>Eventos da Área</v>
      </c>
      <c r="B77" s="111" t="str">
        <f>IFERROR(__xludf.DUMMYFUNCTION("""COMPUTED_VALUE"""),"PAM")</f>
        <v>PAM</v>
      </c>
      <c r="C77" s="112" t="str">
        <f>IFERROR(__xludf.DUMMYFUNCTION("""COMPUTED_VALUE"""),"Passive and Active Network Measurement Conference")</f>
        <v>Passive and Active Network Measurement Conference</v>
      </c>
      <c r="D77" s="108">
        <f>IFERROR(__xludf.DUMMYFUNCTION("""COMPUTED_VALUE"""),20.0)</f>
        <v>20</v>
      </c>
      <c r="E77" s="59" t="str">
        <f>IFERROR(__xludf.DUMMYFUNCTION("""COMPUTED_VALUE"""),"https://scholar.google.com.br/citations?hl=en&amp;view_op=list_hcore&amp;venue=fZ5Q0nFEqjEJ.2023")</f>
        <v>https://scholar.google.com.br/citations?hl=en&amp;view_op=list_hcore&amp;venue=fZ5Q0nFEqjEJ.2023</v>
      </c>
      <c r="F77" s="30"/>
      <c r="I77" s="60" t="str">
        <f>IFERROR(__xludf.DUMMYFUNCTION("""COMPUTED_VALUE"""),"https://dblp.org/db/conf/pam/index.html")</f>
        <v>https://dblp.org/db/conf/pam/index.html</v>
      </c>
    </row>
    <row r="78">
      <c r="A78" s="116" t="str">
        <f>IFERROR(__xludf.DUMMYFUNCTION("""COMPUTED_VALUE"""),"Eventos da Área")</f>
        <v>Eventos da Área</v>
      </c>
      <c r="B78" s="111" t="str">
        <f>IFERROR(__xludf.DUMMYFUNCTION("""COMPUTED_VALUE"""),"WiMob")</f>
        <v>WiMob</v>
      </c>
      <c r="C78" s="112" t="str">
        <f>IFERROR(__xludf.DUMMYFUNCTION("""COMPUTED_VALUE"""),"IEEE International Conference on Wireless and Mobile Computing, Networking and Communications")</f>
        <v>IEEE International Conference on Wireless and Mobile Computing, Networking and Communications</v>
      </c>
      <c r="D78" s="108">
        <f>IFERROR(__xludf.DUMMYFUNCTION("""COMPUTED_VALUE"""),20.0)</f>
        <v>20</v>
      </c>
      <c r="E78" s="59" t="str">
        <f>IFERROR(__xludf.DUMMYFUNCTION("""COMPUTED_VALUE"""),"https://scholar.google.com.br/citations?hl=en&amp;view_op=list_hcore&amp;venue=93OvvQzt_GcJ.2023")</f>
        <v>https://scholar.google.com.br/citations?hl=en&amp;view_op=list_hcore&amp;venue=93OvvQzt_GcJ.2023</v>
      </c>
      <c r="F78" s="30"/>
      <c r="I78" s="60" t="str">
        <f>IFERROR(__xludf.DUMMYFUNCTION("""COMPUTED_VALUE"""),"https://dblp.org/db/conf/wimob/index.html")</f>
        <v>https://dblp.org/db/conf/wimob/index.html</v>
      </c>
    </row>
    <row r="79">
      <c r="A79" s="116" t="str">
        <f>IFERROR(__xludf.DUMMYFUNCTION("""COMPUTED_VALUE"""),"Eventos da Área")</f>
        <v>Eventos da Área</v>
      </c>
      <c r="B79" s="111" t="str">
        <f>IFERROR(__xludf.DUMMYFUNCTION("""COMPUTED_VALUE"""),"ICDCN")</f>
        <v>ICDCN</v>
      </c>
      <c r="C79" s="112" t="str">
        <f>IFERROR(__xludf.DUMMYFUNCTION("""COMPUTED_VALUE"""),"International Conference of Distributed Computing and Networking")</f>
        <v>International Conference of Distributed Computing and Networking</v>
      </c>
      <c r="D79" s="108">
        <f>IFERROR(__xludf.DUMMYFUNCTION("""COMPUTED_VALUE"""),20.0)</f>
        <v>20</v>
      </c>
      <c r="E79" s="59" t="str">
        <f>IFERROR(__xludf.DUMMYFUNCTION("""COMPUTED_VALUE"""),"https://scholar.google.com.br/citations?hl=pt-BR&amp;view_op=list_hcore&amp;venue=oN_amMDfj5sJ.2023")</f>
        <v>https://scholar.google.com.br/citations?hl=pt-BR&amp;view_op=list_hcore&amp;venue=oN_amMDfj5sJ.2023</v>
      </c>
      <c r="F79" s="109"/>
      <c r="I79" s="60" t="str">
        <f>IFERROR(__xludf.DUMMYFUNCTION("""COMPUTED_VALUE"""),"https://dblp.org/db/conf/icdcn/index.html")</f>
        <v>https://dblp.org/db/conf/icdcn/index.html</v>
      </c>
    </row>
    <row r="80">
      <c r="A80" s="116" t="str">
        <f>IFERROR(__xludf.DUMMYFUNCTION("""COMPUTED_VALUE"""),"Eventos da Área")</f>
        <v>Eventos da Área</v>
      </c>
      <c r="B80" s="57" t="str">
        <f>IFERROR(__xludf.DUMMYFUNCTION("""COMPUTED_VALUE"""),"NCA")</f>
        <v>NCA</v>
      </c>
      <c r="C80" s="57" t="str">
        <f>IFERROR(__xludf.DUMMYFUNCTION("""COMPUTED_VALUE"""),"IEEE International Symposium on Network Computing and Applications")</f>
        <v>IEEE International Symposium on Network Computing and Applications</v>
      </c>
      <c r="D80" s="67">
        <f>IFERROR(__xludf.DUMMYFUNCTION("""COMPUTED_VALUE"""),20.0)</f>
        <v>20</v>
      </c>
      <c r="E80" s="59" t="str">
        <f>IFERROR(__xludf.DUMMYFUNCTION("""COMPUTED_VALUE"""),"https://scholar.google.com.br/citations?hl=pt-BR&amp;view_op=list_hcore&amp;venue=lTgG3I7tby0J.2023")</f>
        <v>https://scholar.google.com.br/citations?hl=pt-BR&amp;view_op=list_hcore&amp;venue=lTgG3I7tby0J.2023</v>
      </c>
      <c r="F80" s="57"/>
      <c r="I80" s="60" t="str">
        <f>IFERROR(__xludf.DUMMYFUNCTION("""COMPUTED_VALUE"""),"https://dblp.org/db/conf/nca/index.html")</f>
        <v>https://dblp.org/db/conf/nca/index.html</v>
      </c>
    </row>
    <row r="81">
      <c r="A81" s="116" t="str">
        <f>IFERROR(__xludf.DUMMYFUNCTION("""COMPUTED_VALUE"""),"Eventos da Área")</f>
        <v>Eventos da Área</v>
      </c>
      <c r="B81" s="111" t="str">
        <f>IFERROR(__xludf.DUMMYFUNCTION("""COMPUTED_VALUE"""),"CNSM")</f>
        <v>CNSM</v>
      </c>
      <c r="C81" s="112" t="str">
        <f>IFERROR(__xludf.DUMMYFUNCTION("""COMPUTED_VALUE"""),"International Conference on Network and Service Management")</f>
        <v>International Conference on Network and Service Management</v>
      </c>
      <c r="D81" s="108">
        <f>IFERROR(__xludf.DUMMYFUNCTION("""COMPUTED_VALUE"""),19.0)</f>
        <v>19</v>
      </c>
      <c r="E81" s="59" t="str">
        <f>IFERROR(__xludf.DUMMYFUNCTION("""COMPUTED_VALUE"""),"https://scholar.google.com.br/citations?hl=en&amp;view_op=list_hcore&amp;venue=D9Ngi53e3FUJ.2023")</f>
        <v>https://scholar.google.com.br/citations?hl=en&amp;view_op=list_hcore&amp;venue=D9Ngi53e3FUJ.2023</v>
      </c>
      <c r="F81" s="30"/>
      <c r="I81" s="60" t="str">
        <f>IFERROR(__xludf.DUMMYFUNCTION("""COMPUTED_VALUE"""),"https://dblp.org/db/conf/cnsm/index.html")</f>
        <v>https://dblp.org/db/conf/cnsm/index.html</v>
      </c>
    </row>
    <row r="82">
      <c r="A82" s="116" t="str">
        <f>IFERROR(__xludf.DUMMYFUNCTION("""COMPUTED_VALUE"""),"Eventos da Área")</f>
        <v>Eventos da Área</v>
      </c>
      <c r="B82" s="30" t="str">
        <f>IFERROR(__xludf.DUMMYFUNCTION("""COMPUTED_VALUE"""),"WiOpt")</f>
        <v>WiOpt</v>
      </c>
      <c r="C82" s="30" t="str">
        <f>IFERROR(__xludf.DUMMYFUNCTION("""COMPUTED_VALUE"""),"International Symposium on Modeling and Optimization in Mobile, Ad Hoc, and Wireless Networks")</f>
        <v>International Symposium on Modeling and Optimization in Mobile, Ad Hoc, and Wireless Networks</v>
      </c>
      <c r="D82" s="108">
        <f>IFERROR(__xludf.DUMMYFUNCTION("""COMPUTED_VALUE"""),19.0)</f>
        <v>19</v>
      </c>
      <c r="E82" s="59" t="str">
        <f>IFERROR(__xludf.DUMMYFUNCTION("""COMPUTED_VALUE"""),"https://scholar.google.com.br/citations?hl=en&amp;view_op=list_hcore&amp;venue=wMDBJK-Wc7wJ.2023")</f>
        <v>https://scholar.google.com.br/citations?hl=en&amp;view_op=list_hcore&amp;venue=wMDBJK-Wc7wJ.2023</v>
      </c>
      <c r="F82" s="30"/>
      <c r="I82" s="60" t="str">
        <f>IFERROR(__xludf.DUMMYFUNCTION("""COMPUTED_VALUE"""),"https://dblp.org/db/conf/wiopt/index.html")</f>
        <v>https://dblp.org/db/conf/wiopt/index.html</v>
      </c>
    </row>
    <row r="83">
      <c r="A83" s="116" t="str">
        <f>IFERROR(__xludf.DUMMYFUNCTION("""COMPUTED_VALUE"""),"Eventos da Área")</f>
        <v>Eventos da Área</v>
      </c>
      <c r="B83" s="111" t="str">
        <f>IFERROR(__xludf.DUMMYFUNCTION("""COMPUTED_VALUE"""),"MASS")</f>
        <v>MASS</v>
      </c>
      <c r="C83" s="112" t="str">
        <f>IFERROR(__xludf.DUMMYFUNCTION("""COMPUTED_VALUE"""),"IEEE International Conference on Mobile Adhoc and Sensor Systems")</f>
        <v>IEEE International Conference on Mobile Adhoc and Sensor Systems</v>
      </c>
      <c r="D83" s="108">
        <f>IFERROR(__xludf.DUMMYFUNCTION("""COMPUTED_VALUE"""),19.0)</f>
        <v>19</v>
      </c>
      <c r="E83" s="59" t="str">
        <f>IFERROR(__xludf.DUMMYFUNCTION("""COMPUTED_VALUE"""),"https://scholar.google.com.br/citations?hl=en&amp;view_op=list_hcore&amp;venue=R3zPuj5YyygJ.2023")</f>
        <v>https://scholar.google.com.br/citations?hl=en&amp;view_op=list_hcore&amp;venue=R3zPuj5YyygJ.2023</v>
      </c>
      <c r="F83" s="30"/>
      <c r="I83" s="60" t="str">
        <f>IFERROR(__xludf.DUMMYFUNCTION("""COMPUTED_VALUE"""),"https://dblp.org/db/conf/mass/index.html")</f>
        <v>https://dblp.org/db/conf/mass/index.html</v>
      </c>
    </row>
    <row r="84">
      <c r="A84" s="116" t="str">
        <f>IFERROR(__xludf.DUMMYFUNCTION("""COMPUTED_VALUE"""),"Eventos da Área")</f>
        <v>Eventos da Área</v>
      </c>
      <c r="B84" s="111" t="str">
        <f>IFERROR(__xludf.DUMMYFUNCTION("""COMPUTED_VALUE"""),"VNC")</f>
        <v>VNC</v>
      </c>
      <c r="C84" s="112" t="str">
        <f>IFERROR(__xludf.DUMMYFUNCTION("""COMPUTED_VALUE"""),"IEEE Vehicular Networking Conference")</f>
        <v>IEEE Vehicular Networking Conference</v>
      </c>
      <c r="D84" s="108">
        <f>IFERROR(__xludf.DUMMYFUNCTION("""COMPUTED_VALUE"""),19.0)</f>
        <v>19</v>
      </c>
      <c r="E84" s="59" t="str">
        <f>IFERROR(__xludf.DUMMYFUNCTION("""COMPUTED_VALUE"""),"https://scholar.google.com.br/citations?hl=pt-BR&amp;view_op=list_hcore&amp;venue=Uiuel-P8PcAJ.2023")</f>
        <v>https://scholar.google.com.br/citations?hl=pt-BR&amp;view_op=list_hcore&amp;venue=Uiuel-P8PcAJ.2023</v>
      </c>
      <c r="F84" s="30"/>
      <c r="I84" s="60" t="str">
        <f>IFERROR(__xludf.DUMMYFUNCTION("""COMPUTED_VALUE"""),"https://dblp.org/db/conf/vnc/index.html")</f>
        <v>https://dblp.org/db/conf/vnc/index.html</v>
      </c>
    </row>
    <row r="85">
      <c r="A85" s="116" t="str">
        <f>IFERROR(__xludf.DUMMYFUNCTION("""COMPUTED_VALUE"""),"Eventos da Área")</f>
        <v>Eventos da Área</v>
      </c>
      <c r="B85" s="111" t="str">
        <f>IFERROR(__xludf.DUMMYFUNCTION("""COMPUTED_VALUE"""),"MSWIM")</f>
        <v>MSWIM</v>
      </c>
      <c r="C85" s="112" t="str">
        <f>IFERROR(__xludf.DUMMYFUNCTION("""COMPUTED_VALUE"""),"ACM International Conference on Modeling, Analysis and Simulation of Wireless and Mobile Systems")</f>
        <v>ACM International Conference on Modeling, Analysis and Simulation of Wireless and Mobile Systems</v>
      </c>
      <c r="D85" s="108">
        <f>IFERROR(__xludf.DUMMYFUNCTION("""COMPUTED_VALUE"""),19.0)</f>
        <v>19</v>
      </c>
      <c r="E85" s="59" t="str">
        <f>IFERROR(__xludf.DUMMYFUNCTION("""COMPUTED_VALUE"""),"https://scholar.google.com.br/citations?hl=pt-BR&amp;view_op=list_hcore&amp;venue=7xyzSiMupzgJ.2023")</f>
        <v>https://scholar.google.com.br/citations?hl=pt-BR&amp;view_op=list_hcore&amp;venue=7xyzSiMupzgJ.2023</v>
      </c>
      <c r="F85" s="30"/>
      <c r="I85" s="60" t="str">
        <f>IFERROR(__xludf.DUMMYFUNCTION("""COMPUTED_VALUE"""),"https://dblp.org/db/conf/mswim/index.html")</f>
        <v>https://dblp.org/db/conf/mswim/index.html</v>
      </c>
    </row>
    <row r="86">
      <c r="A86" s="116" t="str">
        <f>IFERROR(__xludf.DUMMYFUNCTION("""COMPUTED_VALUE"""),"Eventos da Área")</f>
        <v>Eventos da Área</v>
      </c>
      <c r="B86" s="57" t="str">
        <f>IFERROR(__xludf.DUMMYFUNCTION("""COMPUTED_VALUE"""),"ICUMT")</f>
        <v>ICUMT</v>
      </c>
      <c r="C86" s="57" t="str">
        <f>IFERROR(__xludf.DUMMYFUNCTION("""COMPUTED_VALUE"""),"International Conference on Ultra Modern Telecommunications")</f>
        <v>International Conference on Ultra Modern Telecommunications</v>
      </c>
      <c r="D86" s="67">
        <f>IFERROR(__xludf.DUMMYFUNCTION("""COMPUTED_VALUE"""),19.0)</f>
        <v>19</v>
      </c>
      <c r="E86" s="59" t="str">
        <f>IFERROR(__xludf.DUMMYFUNCTION("""COMPUTED_VALUE"""),"https://scholar.google.com.br/citations?hl=pt-BR&amp;view_op=list_hcore&amp;venue=Lpmu4bd0tVsJ.2023")</f>
        <v>https://scholar.google.com.br/citations?hl=pt-BR&amp;view_op=list_hcore&amp;venue=Lpmu4bd0tVsJ.2023</v>
      </c>
      <c r="F86" s="57"/>
      <c r="I86" s="60" t="str">
        <f>IFERROR(__xludf.DUMMYFUNCTION("""COMPUTED_VALUE"""),"https://dblp.org/db/conf/icumt/index.html")</f>
        <v>https://dblp.org/db/conf/icumt/index.html</v>
      </c>
    </row>
    <row r="87">
      <c r="A87" s="116" t="str">
        <f>IFERROR(__xludf.DUMMYFUNCTION("""COMPUTED_VALUE"""),"Eventos da Área")</f>
        <v>Eventos da Área</v>
      </c>
      <c r="B87" s="111" t="str">
        <f>IFERROR(__xludf.DUMMYFUNCTION("""COMPUTED_VALUE"""),"LCN")</f>
        <v>LCN</v>
      </c>
      <c r="C87" s="112" t="str">
        <f>IFERROR(__xludf.DUMMYFUNCTION("""COMPUTED_VALUE"""),"IEEE Conference on Local Computer Networks")</f>
        <v>IEEE Conference on Local Computer Networks</v>
      </c>
      <c r="D87" s="108">
        <f>IFERROR(__xludf.DUMMYFUNCTION("""COMPUTED_VALUE"""),18.0)</f>
        <v>18</v>
      </c>
      <c r="E87" s="59" t="str">
        <f>IFERROR(__xludf.DUMMYFUNCTION("""COMPUTED_VALUE"""),"https://scholar.google.com.br/citations?hl=en&amp;view_op=list_hcore&amp;venue=-0SVTi_veasJ.2023")</f>
        <v>https://scholar.google.com.br/citations?hl=en&amp;view_op=list_hcore&amp;venue=-0SVTi_veasJ.2023</v>
      </c>
      <c r="F87" s="30"/>
      <c r="I87" s="60" t="str">
        <f>IFERROR(__xludf.DUMMYFUNCTION("""COMPUTED_VALUE"""),"https://dblp.org/db/conf/lcn/index.html")</f>
        <v>https://dblp.org/db/conf/lcn/index.html</v>
      </c>
    </row>
    <row r="88">
      <c r="A88" s="116" t="str">
        <f>IFERROR(__xludf.DUMMYFUNCTION("""COMPUTED_VALUE"""),"Eventos da Área")</f>
        <v>Eventos da Área</v>
      </c>
      <c r="B88" s="111" t="str">
        <f>IFERROR(__xludf.DUMMYFUNCTION("""COMPUTED_VALUE"""),"CloudNet")</f>
        <v>CloudNet</v>
      </c>
      <c r="C88" s="112" t="str">
        <f>IFERROR(__xludf.DUMMYFUNCTION("""COMPUTED_VALUE"""),"IEEE International Conference on Cloud Networking")</f>
        <v>IEEE International Conference on Cloud Networking</v>
      </c>
      <c r="D88" s="108">
        <f>IFERROR(__xludf.DUMMYFUNCTION("""COMPUTED_VALUE"""),18.0)</f>
        <v>18</v>
      </c>
      <c r="E88" s="59" t="str">
        <f>IFERROR(__xludf.DUMMYFUNCTION("""COMPUTED_VALUE"""),"https://scholar.google.com/citations?hl=en&amp;view_op=list_hcore&amp;venue=xDYTOighRhwJ.2023")</f>
        <v>https://scholar.google.com/citations?hl=en&amp;view_op=list_hcore&amp;venue=xDYTOighRhwJ.2023</v>
      </c>
      <c r="F88" s="30"/>
      <c r="I88" s="60" t="str">
        <f>IFERROR(__xludf.DUMMYFUNCTION("""COMPUTED_VALUE"""),"https://dblp.org/db/conf/cloudnet/index.html")</f>
        <v>https://dblp.org/db/conf/cloudnet/index.html</v>
      </c>
    </row>
    <row r="89">
      <c r="A89" s="116" t="str">
        <f>IFERROR(__xludf.DUMMYFUNCTION("""COMPUTED_VALUE"""),"Eventos da Área")</f>
        <v>Eventos da Área</v>
      </c>
      <c r="B89" s="111" t="str">
        <f>IFERROR(__xludf.DUMMYFUNCTION("""COMPUTED_VALUE"""),"WD")</f>
        <v>WD</v>
      </c>
      <c r="C89" s="112" t="str">
        <f>IFERROR(__xludf.DUMMYFUNCTION("""COMPUTED_VALUE"""),"Wireless Days Conference")</f>
        <v>Wireless Days Conference</v>
      </c>
      <c r="D89" s="108">
        <f>IFERROR(__xludf.DUMMYFUNCTION("""COMPUTED_VALUE"""),18.0)</f>
        <v>18</v>
      </c>
      <c r="E89" s="59" t="str">
        <f>IFERROR(__xludf.DUMMYFUNCTION("""COMPUTED_VALUE"""),"https://scholar.google.com.br/citations?hl=pt-BR&amp;view_op=list_hcore&amp;venue=AFnewPQslXYJ.2023")</f>
        <v>https://scholar.google.com.br/citations?hl=pt-BR&amp;view_op=list_hcore&amp;venue=AFnewPQslXYJ.2023</v>
      </c>
      <c r="F89" s="30"/>
      <c r="I89" s="60" t="str">
        <f>IFERROR(__xludf.DUMMYFUNCTION("""COMPUTED_VALUE"""),"https://dblp.org/db/conf/wd/index.html")</f>
        <v>https://dblp.org/db/conf/wd/index.html</v>
      </c>
    </row>
    <row r="90">
      <c r="A90" s="116" t="str">
        <f>IFERROR(__xludf.DUMMYFUNCTION("""COMPUTED_VALUE"""),"Eventos da Área")</f>
        <v>Eventos da Área</v>
      </c>
      <c r="B90" s="111" t="str">
        <f>IFERROR(__xludf.DUMMYFUNCTION("""COMPUTED_VALUE"""),"WOCC")</f>
        <v>WOCC</v>
      </c>
      <c r="C90" s="112" t="str">
        <f>IFERROR(__xludf.DUMMYFUNCTION("""COMPUTED_VALUE"""),"Wireless and Optical Communications Conference")</f>
        <v>Wireless and Optical Communications Conference</v>
      </c>
      <c r="D90" s="108">
        <f>IFERROR(__xludf.DUMMYFUNCTION("""COMPUTED_VALUE"""),18.0)</f>
        <v>18</v>
      </c>
      <c r="E90" s="59" t="str">
        <f>IFERROR(__xludf.DUMMYFUNCTION("""COMPUTED_VALUE"""),"https://scholar.google.com.br/citations?hl=pt-BR&amp;view_op=list_hcore&amp;venue=3DkJ6LWnfgoJ.2023")</f>
        <v>https://scholar.google.com.br/citations?hl=pt-BR&amp;view_op=list_hcore&amp;venue=3DkJ6LWnfgoJ.2023</v>
      </c>
      <c r="F90" s="30"/>
      <c r="I90" s="60" t="str">
        <f>IFERROR(__xludf.DUMMYFUNCTION("""COMPUTED_VALUE"""),"https://dblp.org/db/conf/wocc/index.html")</f>
        <v>https://dblp.org/db/conf/wocc/index.html</v>
      </c>
    </row>
    <row r="91">
      <c r="A91" s="116" t="str">
        <f>IFERROR(__xludf.DUMMYFUNCTION("""COMPUTED_VALUE"""),"Eventos da Área")</f>
        <v>Eventos da Área</v>
      </c>
      <c r="B91" s="111" t="str">
        <f>IFERROR(__xludf.DUMMYFUNCTION("""COMPUTED_VALUE"""),"NFV-SDN")</f>
        <v>NFV-SDN</v>
      </c>
      <c r="C91" s="112" t="str">
        <f>IFERROR(__xludf.DUMMYFUNCTION("""COMPUTED_VALUE"""),"IEEE Conference on Network Function Virtualization and Software Defined Networks")</f>
        <v>IEEE Conference on Network Function Virtualization and Software Defined Networks</v>
      </c>
      <c r="D91" s="108">
        <f>IFERROR(__xludf.DUMMYFUNCTION("""COMPUTED_VALUE"""),18.0)</f>
        <v>18</v>
      </c>
      <c r="E91" s="59" t="str">
        <f>IFERROR(__xludf.DUMMYFUNCTION("""COMPUTED_VALUE"""),"https://scholar.google.com.br/citations?hl=pt-BR&amp;view_op=list_hcore&amp;venue=zpJLXcw8LuIJ.2023")</f>
        <v>https://scholar.google.com.br/citations?hl=pt-BR&amp;view_op=list_hcore&amp;venue=zpJLXcw8LuIJ.2023</v>
      </c>
      <c r="F91" s="30"/>
      <c r="I91" s="60" t="str">
        <f>IFERROR(__xludf.DUMMYFUNCTION("""COMPUTED_VALUE"""),"https://dblp.org/db/conf/nfvsdn/index.html")</f>
        <v>https://dblp.org/db/conf/nfvsdn/index.html</v>
      </c>
    </row>
    <row r="92">
      <c r="A92" s="116" t="str">
        <f>IFERROR(__xludf.DUMMYFUNCTION("""COMPUTED_VALUE"""),"Eventos da Área")</f>
        <v>Eventos da Área</v>
      </c>
      <c r="B92" s="111" t="str">
        <f>IFERROR(__xludf.DUMMYFUNCTION("""COMPUTED_VALUE"""),"CSCN")</f>
        <v>CSCN</v>
      </c>
      <c r="C92" s="112" t="str">
        <f>IFERROR(__xludf.DUMMYFUNCTION("""COMPUTED_VALUE"""),"IEEE Conference on Standards for Communications and Networking")</f>
        <v>IEEE Conference on Standards for Communications and Networking</v>
      </c>
      <c r="D92" s="108">
        <f>IFERROR(__xludf.DUMMYFUNCTION("""COMPUTED_VALUE"""),18.0)</f>
        <v>18</v>
      </c>
      <c r="E92" s="59" t="str">
        <f>IFERROR(__xludf.DUMMYFUNCTION("""COMPUTED_VALUE"""),"https://scholar.google.com.br/citations?hl=pt-BR&amp;view_op=list_hcore&amp;venue=fRCvy-8x_TkJ.2023")</f>
        <v>https://scholar.google.com.br/citations?hl=pt-BR&amp;view_op=list_hcore&amp;venue=fRCvy-8x_TkJ.2023</v>
      </c>
      <c r="F92" s="30"/>
      <c r="I92" s="60" t="str">
        <f>IFERROR(__xludf.DUMMYFUNCTION("""COMPUTED_VALUE"""),"https://dblp.org/db/conf/cscn/index.html")</f>
        <v>https://dblp.org/db/conf/cscn/index.html</v>
      </c>
    </row>
    <row r="93">
      <c r="A93" s="116" t="str">
        <f>IFERROR(__xludf.DUMMYFUNCTION("""COMPUTED_VALUE"""),"Eventos da Área")</f>
        <v>Eventos da Área</v>
      </c>
      <c r="B93" s="30" t="str">
        <f>IFERROR(__xludf.DUMMYFUNCTION("""COMPUTED_VALUE"""),"DEBS")</f>
        <v>DEBS</v>
      </c>
      <c r="C93" s="30" t="str">
        <f>IFERROR(__xludf.DUMMYFUNCTION("""COMPUTED_VALUE"""),"International Conference on Distributed and Event-Based Systems")</f>
        <v>International Conference on Distributed and Event-Based Systems</v>
      </c>
      <c r="D93" s="108">
        <f>IFERROR(__xludf.DUMMYFUNCTION("""COMPUTED_VALUE"""),18.0)</f>
        <v>18</v>
      </c>
      <c r="E93" s="59" t="str">
        <f>IFERROR(__xludf.DUMMYFUNCTION("""COMPUTED_VALUE"""),"https://scholar.google.com.br/citations?hl=pt-BR&amp;view_op=list_hcore&amp;venue=tlrCVwIsX4kJ.2023")</f>
        <v>https://scholar.google.com.br/citations?hl=pt-BR&amp;view_op=list_hcore&amp;venue=tlrCVwIsX4kJ.2023</v>
      </c>
      <c r="F93" s="30"/>
      <c r="I93" s="60" t="str">
        <f>IFERROR(__xludf.DUMMYFUNCTION("""COMPUTED_VALUE"""),"https://dblp.org/db/conf/debs/index.html")</f>
        <v>https://dblp.org/db/conf/debs/index.html</v>
      </c>
    </row>
    <row r="94">
      <c r="A94" s="116" t="str">
        <f>IFERROR(__xludf.DUMMYFUNCTION("""COMPUTED_VALUE"""),"Eventos da Área")</f>
        <v>Eventos da Área</v>
      </c>
      <c r="B94" s="57" t="str">
        <f>IFERROR(__xludf.DUMMYFUNCTION("""COMPUTED_VALUE"""),"IPCCC")</f>
        <v>IPCCC</v>
      </c>
      <c r="C94" s="57" t="str">
        <f>IFERROR(__xludf.DUMMYFUNCTION("""COMPUTED_VALUE"""),"International Performance, Computing, and Communications Conference")</f>
        <v>International Performance, Computing, and Communications Conference</v>
      </c>
      <c r="D94" s="67">
        <f>IFERROR(__xludf.DUMMYFUNCTION("""COMPUTED_VALUE"""),17.0)</f>
        <v>17</v>
      </c>
      <c r="E94" s="59" t="str">
        <f>IFERROR(__xludf.DUMMYFUNCTION("""COMPUTED_VALUE"""),"https://scholar.google.com.br/citations?hl=pt-BR&amp;view_op=list_hcore&amp;venue=LM8Vo6K7w5QJ.2023")</f>
        <v>https://scholar.google.com.br/citations?hl=pt-BR&amp;view_op=list_hcore&amp;venue=LM8Vo6K7w5QJ.2023</v>
      </c>
      <c r="F94" s="57"/>
      <c r="I94" s="60" t="str">
        <f>IFERROR(__xludf.DUMMYFUNCTION("""COMPUTED_VALUE"""),"https://dblp.org/db/conf/ipccc/index.html")</f>
        <v>https://dblp.org/db/conf/ipccc/index.html</v>
      </c>
    </row>
    <row r="95">
      <c r="A95" s="116" t="str">
        <f>IFERROR(__xludf.DUMMYFUNCTION("""COMPUTED_VALUE"""),"Eventos da Área")</f>
        <v>Eventos da Área</v>
      </c>
      <c r="B95" s="30" t="str">
        <f>IFERROR(__xludf.DUMMYFUNCTION("""COMPUTED_VALUE"""),"MobiQuitous")</f>
        <v>MobiQuitous</v>
      </c>
      <c r="C95" s="112" t="str">
        <f>IFERROR(__xludf.DUMMYFUNCTION("""COMPUTED_VALUE"""),"International Conference on Mobile and Ubiquitous Systems: Computing, Networking and Services")</f>
        <v>International Conference on Mobile and Ubiquitous Systems: Computing, Networking and Services</v>
      </c>
      <c r="D95" s="108">
        <f>IFERROR(__xludf.DUMMYFUNCTION("""COMPUTED_VALUE"""),17.0)</f>
        <v>17</v>
      </c>
      <c r="E95" s="59" t="str">
        <f>IFERROR(__xludf.DUMMYFUNCTION("""COMPUTED_VALUE"""),"https://scholar.google.com.br/citations?hl=pt-BR&amp;view_op=list_hcore&amp;venue=bnWlRT9hHXEJ.2023")</f>
        <v>https://scholar.google.com.br/citations?hl=pt-BR&amp;view_op=list_hcore&amp;venue=bnWlRT9hHXEJ.2023</v>
      </c>
      <c r="F95" s="30"/>
      <c r="I95" s="60" t="str">
        <f>IFERROR(__xludf.DUMMYFUNCTION("""COMPUTED_VALUE"""),"https://dblp.org/db/conf/mobiquitous/index.html")</f>
        <v>https://dblp.org/db/conf/mobiquitous/index.html</v>
      </c>
    </row>
    <row r="96">
      <c r="A96" s="116" t="str">
        <f>IFERROR(__xludf.DUMMYFUNCTION("""COMPUTED_VALUE"""),"Eventos da Área")</f>
        <v>Eventos da Área</v>
      </c>
      <c r="B96" s="111" t="str">
        <f>IFERROR(__xludf.DUMMYFUNCTION("""COMPUTED_VALUE"""),"SoftCOM")</f>
        <v>SoftCOM</v>
      </c>
      <c r="C96" s="30" t="str">
        <f>IFERROR(__xludf.DUMMYFUNCTION("""COMPUTED_VALUE"""),"International Conference on Software, Telecommunications and Computer Networks")</f>
        <v>International Conference on Software, Telecommunications and Computer Networks</v>
      </c>
      <c r="D96" s="108">
        <f>IFERROR(__xludf.DUMMYFUNCTION("""COMPUTED_VALUE"""),17.0)</f>
        <v>17</v>
      </c>
      <c r="E96" s="59" t="str">
        <f>IFERROR(__xludf.DUMMYFUNCTION("""COMPUTED_VALUE"""),"https://scholar.google.com.br/citations?hl=pt-BR&amp;view_op=list_hcore&amp;venue=TezauzTurFkJ.2023")</f>
        <v>https://scholar.google.com.br/citations?hl=pt-BR&amp;view_op=list_hcore&amp;venue=TezauzTurFkJ.2023</v>
      </c>
      <c r="F96" s="30"/>
      <c r="I96" s="60" t="str">
        <f>IFERROR(__xludf.DUMMYFUNCTION("""COMPUTED_VALUE"""),"https://dblp.org/db/conf/softcom/index.html")</f>
        <v>https://dblp.org/db/conf/softcom/index.html</v>
      </c>
    </row>
    <row r="97">
      <c r="A97" s="116" t="str">
        <f>IFERROR(__xludf.DUMMYFUNCTION("""COMPUTED_VALUE"""),"Eventos da Área")</f>
        <v>Eventos da Área</v>
      </c>
      <c r="B97" s="111" t="str">
        <f>IFERROR(__xludf.DUMMYFUNCTION("""COMPUTED_VALUE"""),"CloudCom")</f>
        <v>CloudCom</v>
      </c>
      <c r="C97" s="112" t="str">
        <f>IFERROR(__xludf.DUMMYFUNCTION("""COMPUTED_VALUE"""),"IEEE International Conference on Cloud Computing Technology and Science")</f>
        <v>IEEE International Conference on Cloud Computing Technology and Science</v>
      </c>
      <c r="D97" s="108">
        <f>IFERROR(__xludf.DUMMYFUNCTION("""COMPUTED_VALUE"""),16.0)</f>
        <v>16</v>
      </c>
      <c r="E97" s="59" t="str">
        <f>IFERROR(__xludf.DUMMYFUNCTION("""COMPUTED_VALUE"""),"https://scholar.google.com.br/citations?hl=en&amp;view_op=list_hcore&amp;venue=aNZ314HiR4YJ.2023")</f>
        <v>https://scholar.google.com.br/citations?hl=en&amp;view_op=list_hcore&amp;venue=aNZ314HiR4YJ.2023</v>
      </c>
      <c r="F97" s="30"/>
      <c r="I97" s="60" t="str">
        <f>IFERROR(__xludf.DUMMYFUNCTION("""COMPUTED_VALUE"""),"https://dblp.org/db/conf/cloudcom/index.html")</f>
        <v>https://dblp.org/db/conf/cloudcom/index.html</v>
      </c>
    </row>
    <row r="98">
      <c r="A98" s="116" t="str">
        <f>IFERROR(__xludf.DUMMYFUNCTION("""COMPUTED_VALUE"""),"Eventos da Área")</f>
        <v>Eventos da Área</v>
      </c>
      <c r="B98" s="111" t="str">
        <f>IFERROR(__xludf.DUMMYFUNCTION("""COMPUTED_VALUE"""),"MASCOTS")</f>
        <v>MASCOTS</v>
      </c>
      <c r="C98" s="112" t="str">
        <f>IFERROR(__xludf.DUMMYFUNCTION("""COMPUTED_VALUE"""),"International Symposium on the Modeling, Analysis, and Simulation of Computer and Telecommunication Systems")</f>
        <v>International Symposium on the Modeling, Analysis, and Simulation of Computer and Telecommunication Systems</v>
      </c>
      <c r="D98" s="108">
        <f>IFERROR(__xludf.DUMMYFUNCTION("""COMPUTED_VALUE"""),16.0)</f>
        <v>16</v>
      </c>
      <c r="E98" s="59" t="str">
        <f>IFERROR(__xludf.DUMMYFUNCTION("""COMPUTED_VALUE"""),"https://scholar.google.com/citations?hl=en&amp;view_op=list_hcore&amp;venue=rUAci4_JCgEJ.2023")</f>
        <v>https://scholar.google.com/citations?hl=en&amp;view_op=list_hcore&amp;venue=rUAci4_JCgEJ.2023</v>
      </c>
      <c r="F98" s="30"/>
      <c r="I98" s="60" t="str">
        <f>IFERROR(__xludf.DUMMYFUNCTION("""COMPUTED_VALUE"""),"https://dblp.org/db/conf/mascots/index.html")</f>
        <v>https://dblp.org/db/conf/mascots/index.html</v>
      </c>
    </row>
    <row r="99">
      <c r="A99" s="116" t="str">
        <f>IFERROR(__xludf.DUMMYFUNCTION("""COMPUTED_VALUE"""),"Eventos da Área")</f>
        <v>Eventos da Área</v>
      </c>
      <c r="B99" s="111" t="str">
        <f>IFERROR(__xludf.DUMMYFUNCTION("""COMPUTED_VALUE"""),"IEEEANTS")</f>
        <v>IEEEANTS</v>
      </c>
      <c r="C99" s="112" t="str">
        <f>IFERROR(__xludf.DUMMYFUNCTION("""COMPUTED_VALUE"""),"IEEE International Conference on Advanced Networks and Telecommuncations Systems")</f>
        <v>IEEE International Conference on Advanced Networks and Telecommuncations Systems</v>
      </c>
      <c r="D99" s="108">
        <f>IFERROR(__xludf.DUMMYFUNCTION("""COMPUTED_VALUE"""),15.0)</f>
        <v>15</v>
      </c>
      <c r="E99" s="59" t="str">
        <f>IFERROR(__xludf.DUMMYFUNCTION("""COMPUTED_VALUE"""),"https://scholar.google.com.br/citations?hl=pt-BR&amp;view_op=list_hcore&amp;venue=oIYBlZ0nCUMJ.2023")</f>
        <v>https://scholar.google.com.br/citations?hl=pt-BR&amp;view_op=list_hcore&amp;venue=oIYBlZ0nCUMJ.2023</v>
      </c>
      <c r="F99" s="30"/>
      <c r="I99" s="60" t="str">
        <f>IFERROR(__xludf.DUMMYFUNCTION("""COMPUTED_VALUE"""),"https://dblp.org/db/conf/ieeeants/index.html")</f>
        <v>https://dblp.org/db/conf/ieeeants/index.html</v>
      </c>
    </row>
    <row r="100">
      <c r="A100" s="116" t="str">
        <f>IFERROR(__xludf.DUMMYFUNCTION("""COMPUTED_VALUE"""),"Eventos da Área")</f>
        <v>Eventos da Área</v>
      </c>
      <c r="B100" s="111" t="str">
        <f>IFERROR(__xludf.DUMMYFUNCTION("""COMPUTED_VALUE"""),"OPODIS")</f>
        <v>OPODIS</v>
      </c>
      <c r="C100" s="112" t="str">
        <f>IFERROR(__xludf.DUMMYFUNCTION("""COMPUTED_VALUE"""),"International Conference on Principles of Distributed Systems")</f>
        <v>International Conference on Principles of Distributed Systems</v>
      </c>
      <c r="D100" s="108">
        <f>IFERROR(__xludf.DUMMYFUNCTION("""COMPUTED_VALUE"""),15.0)</f>
        <v>15</v>
      </c>
      <c r="E100" s="59" t="str">
        <f>IFERROR(__xludf.DUMMYFUNCTION("""COMPUTED_VALUE"""),"https://scholar.google.com.br/citations?hl=pt-BR&amp;view_op=list_hcore&amp;venue=0luRC0xHVlsJ.2023")</f>
        <v>https://scholar.google.com.br/citations?hl=pt-BR&amp;view_op=list_hcore&amp;venue=0luRC0xHVlsJ.2023</v>
      </c>
      <c r="F100" s="30"/>
      <c r="I100" s="60" t="str">
        <f>IFERROR(__xludf.DUMMYFUNCTION("""COMPUTED_VALUE"""),"https://dblp.org/db/conf/opodis/index.html")</f>
        <v>https://dblp.org/db/conf/opodis/index.html</v>
      </c>
    </row>
    <row r="101">
      <c r="A101" s="116" t="str">
        <f>IFERROR(__xludf.DUMMYFUNCTION("""COMPUTED_VALUE"""),"Eventos da Área")</f>
        <v>Eventos da Área</v>
      </c>
      <c r="B101" s="111" t="str">
        <f>IFERROR(__xludf.DUMMYFUNCTION("""COMPUTED_VALUE"""),"CITS")</f>
        <v>CITS</v>
      </c>
      <c r="C101" s="112" t="str">
        <f>IFERROR(__xludf.DUMMYFUNCTION("""COMPUTED_VALUE"""),"International Conference on Computer, Information, and Telecommunication Systems")</f>
        <v>International Conference on Computer, Information, and Telecommunication Systems</v>
      </c>
      <c r="D101" s="108">
        <f>IFERROR(__xludf.DUMMYFUNCTION("""COMPUTED_VALUE"""),15.0)</f>
        <v>15</v>
      </c>
      <c r="E101" s="59" t="str">
        <f>IFERROR(__xludf.DUMMYFUNCTION("""COMPUTED_VALUE"""),"https://scholar.google.com.br/citations?hl=pt-BR&amp;view_op=list_hcore&amp;venue=FdZkG8N8jboJ.2023")</f>
        <v>https://scholar.google.com.br/citations?hl=pt-BR&amp;view_op=list_hcore&amp;venue=FdZkG8N8jboJ.2023</v>
      </c>
      <c r="F101" s="30"/>
      <c r="I101" s="60" t="str">
        <f>IFERROR(__xludf.DUMMYFUNCTION("""COMPUTED_VALUE"""),"https://dblp.org/db/conf/cits/index.html")</f>
        <v>https://dblp.org/db/conf/cits/index.html</v>
      </c>
    </row>
    <row r="102">
      <c r="A102" s="116" t="str">
        <f>IFERROR(__xludf.DUMMYFUNCTION("""COMPUTED_VALUE"""),"Eventos da Área")</f>
        <v>Eventos da Área</v>
      </c>
      <c r="B102" s="111" t="str">
        <f>IFERROR(__xludf.DUMMYFUNCTION("""COMPUTED_VALUE"""),"MSN")</f>
        <v>MSN</v>
      </c>
      <c r="C102" s="112" t="str">
        <f>IFERROR(__xludf.DUMMYFUNCTION("""COMPUTED_VALUE"""),"International Conference on Mobile Ad-Hoc and Sensor Networks")</f>
        <v>International Conference on Mobile Ad-Hoc and Sensor Networks</v>
      </c>
      <c r="D102" s="108">
        <f>IFERROR(__xludf.DUMMYFUNCTION("""COMPUTED_VALUE"""),13.0)</f>
        <v>13</v>
      </c>
      <c r="E102" s="59" t="str">
        <f>IFERROR(__xludf.DUMMYFUNCTION("""COMPUTED_VALUE"""),"https://scholar.google.com.br/citations?hl=pt-BR&amp;view_op=list_hcore&amp;venue=neOh05x3OTMJ.2023")</f>
        <v>https://scholar.google.com.br/citations?hl=pt-BR&amp;view_op=list_hcore&amp;venue=neOh05x3OTMJ.2023</v>
      </c>
      <c r="F102" s="30"/>
      <c r="I102" s="60" t="str">
        <f>IFERROR(__xludf.DUMMYFUNCTION("""COMPUTED_VALUE"""),"https://dblp.org/db/conf/msn/index.html")</f>
        <v>https://dblp.org/db/conf/msn/index.html</v>
      </c>
    </row>
    <row r="103">
      <c r="A103" s="117" t="str">
        <f>IFERROR(__xludf.DUMMYFUNCTION("""COMPUTED_VALUE"""),"Eventos da Área")</f>
        <v>Eventos da Área</v>
      </c>
      <c r="B103" s="111" t="str">
        <f>IFERROR(__xludf.DUMMYFUNCTION("""COMPUTED_VALUE"""),"IMIS")</f>
        <v>IMIS</v>
      </c>
      <c r="C103" s="112" t="str">
        <f>IFERROR(__xludf.DUMMYFUNCTION("""COMPUTED_VALUE"""),"International Conference on Innovative Mobile and Internet Services in Ubiquitous Computing")</f>
        <v>International Conference on Innovative Mobile and Internet Services in Ubiquitous Computing</v>
      </c>
      <c r="D103" s="108">
        <f>IFERROR(__xludf.DUMMYFUNCTION("""COMPUTED_VALUE"""),12.0)</f>
        <v>12</v>
      </c>
      <c r="E103" s="59" t="str">
        <f>IFERROR(__xludf.DUMMYFUNCTION("""COMPUTED_VALUE"""),"https://scholar.google.com.br/citations?hl=en&amp;view_op=list_hcore&amp;venue=6Xfj7Y8gKaYJ.2023")</f>
        <v>https://scholar.google.com.br/citations?hl=en&amp;view_op=list_hcore&amp;venue=6Xfj7Y8gKaYJ.2023</v>
      </c>
      <c r="F103" s="30"/>
      <c r="I103" s="60" t="str">
        <f>IFERROR(__xludf.DUMMYFUNCTION("""COMPUTED_VALUE"""),"https://dblp.org/db/conf/imis/index.html")</f>
        <v>https://dblp.org/db/conf/imis/index.html</v>
      </c>
    </row>
    <row r="104">
      <c r="A104" s="117" t="str">
        <f>IFERROR(__xludf.DUMMYFUNCTION("""COMPUTED_VALUE"""),"Eventos da Área")</f>
        <v>Eventos da Área</v>
      </c>
      <c r="B104" s="111" t="str">
        <f>IFERROR(__xludf.DUMMYFUNCTION("""COMPUTED_VALUE"""),"NetSys")</f>
        <v>NetSys</v>
      </c>
      <c r="C104" s="112" t="str">
        <f>IFERROR(__xludf.DUMMYFUNCTION("""COMPUTED_VALUE"""),"International Conference on Networked Systems")</f>
        <v>International Conference on Networked Systems</v>
      </c>
      <c r="D104" s="108">
        <f>IFERROR(__xludf.DUMMYFUNCTION("""COMPUTED_VALUE"""),12.0)</f>
        <v>12</v>
      </c>
      <c r="E104" s="59" t="str">
        <f>IFERROR(__xludf.DUMMYFUNCTION("""COMPUTED_VALUE"""),"https://scholar.google.com.br/citations?hl=pt-BR&amp;view_op=list_hcore&amp;venue=a1PaC1R5uZ8J.2023")</f>
        <v>https://scholar.google.com.br/citations?hl=pt-BR&amp;view_op=list_hcore&amp;venue=a1PaC1R5uZ8J.2023</v>
      </c>
      <c r="F104" s="30"/>
      <c r="I104" s="60" t="str">
        <f>IFERROR(__xludf.DUMMYFUNCTION("""COMPUTED_VALUE"""),"https://dblp.org/db/conf/netsys/index.html")</f>
        <v>https://dblp.org/db/conf/netsys/index.html</v>
      </c>
    </row>
    <row r="105">
      <c r="A105" s="117" t="str">
        <f>IFERROR(__xludf.DUMMYFUNCTION("""COMPUTED_VALUE"""),"Eventos da Área")</f>
        <v>Eventos da Área</v>
      </c>
      <c r="B105" s="111" t="str">
        <f>IFERROR(__xludf.DUMMYFUNCTION("""COMPUTED_VALUE"""),"NOF")</f>
        <v>NOF</v>
      </c>
      <c r="C105" s="112" t="str">
        <f>IFERROR(__xludf.DUMMYFUNCTION("""COMPUTED_VALUE"""),"International Conference on Network of the Future")</f>
        <v>International Conference on Network of the Future</v>
      </c>
      <c r="D105" s="108">
        <f>IFERROR(__xludf.DUMMYFUNCTION("""COMPUTED_VALUE"""),11.0)</f>
        <v>11</v>
      </c>
      <c r="E105" s="59" t="str">
        <f>IFERROR(__xludf.DUMMYFUNCTION("""COMPUTED_VALUE"""),"https://scholar.google.com.br/citations?hl=pt-BR&amp;view_op=list_hcore&amp;venue=mg4DaRHarRgJ.2023")</f>
        <v>https://scholar.google.com.br/citations?hl=pt-BR&amp;view_op=list_hcore&amp;venue=mg4DaRHarRgJ.2023</v>
      </c>
      <c r="F105" s="30"/>
      <c r="I105" s="60" t="str">
        <f>IFERROR(__xludf.DUMMYFUNCTION("""COMPUTED_VALUE"""),"https://dblp.org/db/conf/nof/index.html")</f>
        <v>https://dblp.org/db/conf/nof/index.html</v>
      </c>
    </row>
    <row r="106">
      <c r="A106" s="117" t="str">
        <f>IFERROR(__xludf.DUMMYFUNCTION("""COMPUTED_VALUE"""),"Eventos da Área")</f>
        <v>Eventos da Área</v>
      </c>
      <c r="B106" s="57" t="str">
        <f>IFERROR(__xludf.DUMMYFUNCTION("""COMPUTED_VALUE"""),"LATINCOM")</f>
        <v>LATINCOM</v>
      </c>
      <c r="C106" s="57" t="str">
        <f>IFERROR(__xludf.DUMMYFUNCTION("""COMPUTED_VALUE"""),"IEEE Latin-American Conference on Communications")</f>
        <v>IEEE Latin-American Conference on Communications</v>
      </c>
      <c r="D106" s="67">
        <f>IFERROR(__xludf.DUMMYFUNCTION("""COMPUTED_VALUE"""),11.0)</f>
        <v>11</v>
      </c>
      <c r="E106" s="59" t="str">
        <f>IFERROR(__xludf.DUMMYFUNCTION("""COMPUTED_VALUE"""),"https://scholar.google.com.br/citations?hl=pt-BR&amp;view_op=list_hcore&amp;venue=P88GQzAGJOcJ.2023")</f>
        <v>https://scholar.google.com.br/citations?hl=pt-BR&amp;view_op=list_hcore&amp;venue=P88GQzAGJOcJ.2023</v>
      </c>
      <c r="F106" s="57"/>
      <c r="I106" s="60" t="str">
        <f>IFERROR(__xludf.DUMMYFUNCTION("""COMPUTED_VALUE"""),"https://dblp.org/db/conf/latincom/index.html")</f>
        <v>https://dblp.org/db/conf/latincom/index.html</v>
      </c>
    </row>
    <row r="107">
      <c r="A107" s="117" t="str">
        <f>IFERROR(__xludf.DUMMYFUNCTION("""COMPUTED_VALUE"""),"Eventos da Área")</f>
        <v>Eventos da Área</v>
      </c>
      <c r="B107" s="111" t="str">
        <f>IFERROR(__xludf.DUMMYFUNCTION("""COMPUTED_VALUE"""),"HEALTHCOM")</f>
        <v>HEALTHCOM</v>
      </c>
      <c r="C107" s="112" t="str">
        <f>IFERROR(__xludf.DUMMYFUNCTION("""COMPUTED_VALUE"""),"IEEE International Conference on E-health Networking, Application &amp; Services")</f>
        <v>IEEE International Conference on E-health Networking, Application &amp; Services</v>
      </c>
      <c r="D107" s="108">
        <f>IFERROR(__xludf.DUMMYFUNCTION("""COMPUTED_VALUE"""),10.0)</f>
        <v>10</v>
      </c>
      <c r="E107" s="59" t="str">
        <f>IFERROR(__xludf.DUMMYFUNCTION("""COMPUTED_VALUE"""),"https://scholar.google.com/citations?hl=en&amp;view_op=list_hcore&amp;venue=MfW4vBJSWVEJ.2023")</f>
        <v>https://scholar.google.com/citations?hl=en&amp;view_op=list_hcore&amp;venue=MfW4vBJSWVEJ.2023</v>
      </c>
      <c r="F107" s="30"/>
      <c r="I107" s="60" t="str">
        <f>IFERROR(__xludf.DUMMYFUNCTION("""COMPUTED_VALUE"""),"https://dblp.org/db/conf/healthcom/index.html")</f>
        <v>https://dblp.org/db/conf/healthcom/index.html</v>
      </c>
    </row>
    <row r="108">
      <c r="A108" s="117" t="str">
        <f>IFERROR(__xludf.DUMMYFUNCTION("""COMPUTED_VALUE"""),"Eventos da Área")</f>
        <v>Eventos da Área</v>
      </c>
      <c r="B108" s="111" t="str">
        <f>IFERROR(__xludf.DUMMYFUNCTION("""COMPUTED_VALUE"""),"MEDITCOM")</f>
        <v>MEDITCOM</v>
      </c>
      <c r="C108" s="112" t="str">
        <f>IFERROR(__xludf.DUMMYFUNCTION("""COMPUTED_VALUE"""),"IEEE International Mediterranean Conference on Communications and Networking")</f>
        <v>IEEE International Mediterranean Conference on Communications and Networking</v>
      </c>
      <c r="D108" s="108">
        <f>IFERROR(__xludf.DUMMYFUNCTION("""COMPUTED_VALUE"""),8.0)</f>
        <v>8</v>
      </c>
      <c r="E108" s="59" t="str">
        <f>IFERROR(__xludf.DUMMYFUNCTION("""COMPUTED_VALUE"""),"https://scholar.google.com.br/citations?hl=pt-BR&amp;view_op=list_hcore&amp;venue=d4PPIblacy8J.2023")</f>
        <v>https://scholar.google.com.br/citations?hl=pt-BR&amp;view_op=list_hcore&amp;venue=d4PPIblacy8J.2023</v>
      </c>
      <c r="F108" s="57"/>
      <c r="I108" s="60" t="str">
        <f>IFERROR(__xludf.DUMMYFUNCTION("""COMPUTED_VALUE"""),"https://dblp.org/db/conf/meditcom/index.html")</f>
        <v>https://dblp.org/db/conf/meditcom/index.html</v>
      </c>
    </row>
    <row r="109">
      <c r="A109" s="117" t="str">
        <f>IFERROR(__xludf.DUMMYFUNCTION("""COMPUTED_VALUE"""),"Eventos da Área")</f>
        <v>Eventos da Área</v>
      </c>
      <c r="B109" s="111" t="str">
        <f>IFERROR(__xludf.DUMMYFUNCTION("""COMPUTED_VALUE"""),"FNWF")</f>
        <v>FNWF</v>
      </c>
      <c r="C109" s="112" t="str">
        <f>IFERROR(__xludf.DUMMYFUNCTION("""COMPUTED_VALUE"""),"IEEE Future Networks World Forum")</f>
        <v>IEEE Future Networks World Forum</v>
      </c>
      <c r="D109" s="108">
        <f>IFERROR(__xludf.DUMMYFUNCTION("""COMPUTED_VALUE"""),4.0)</f>
        <v>4</v>
      </c>
      <c r="E109" s="59" t="str">
        <f>IFERROR(__xludf.DUMMYFUNCTION("""COMPUTED_VALUE"""),"https://scholar.google.com.br/citations?hl=pt-BR&amp;view_op=list_hcore&amp;venue=MhundaNt3scJ.2023")</f>
        <v>https://scholar.google.com.br/citations?hl=pt-BR&amp;view_op=list_hcore&amp;venue=MhundaNt3scJ.2023</v>
      </c>
      <c r="F109" s="57"/>
      <c r="I109" s="60" t="str">
        <f>IFERROR(__xludf.DUMMYFUNCTION("""COMPUTED_VALUE"""),"https://dblp.org/db/conf/fnwf/index.html")</f>
        <v>https://dblp.org/db/conf/fnwf/index.html</v>
      </c>
    </row>
    <row r="110">
      <c r="A110" s="117" t="str">
        <f>IFERROR(__xludf.DUMMYFUNCTION("""COMPUTED_VALUE"""),"Eventos da Área")</f>
        <v>Eventos da Área</v>
      </c>
      <c r="B110" s="111" t="str">
        <f>IFERROR(__xludf.DUMMYFUNCTION("""COMPUTED_VALUE"""),"ANCS")</f>
        <v>ANCS</v>
      </c>
      <c r="C110" s="112" t="str">
        <f>IFERROR(__xludf.DUMMYFUNCTION("""COMPUTED_VALUE"""),"ACM/IEEE Symposium on Architectures for Networking and Communications Systems")</f>
        <v>ACM/IEEE Symposium on Architectures for Networking and Communications Systems</v>
      </c>
      <c r="D110" s="108" t="str">
        <f>IFERROR(__xludf.DUMMYFUNCTION("""COMPUTED_VALUE"""),"?")</f>
        <v>?</v>
      </c>
      <c r="E110" s="59" t="str">
        <f>IFERROR(__xludf.DUMMYFUNCTION("""COMPUTED_VALUE"""),"?")</f>
        <v>?</v>
      </c>
      <c r="F110" s="57"/>
      <c r="I110" s="60" t="str">
        <f>IFERROR(__xludf.DUMMYFUNCTION("""COMPUTED_VALUE"""),"https://dblp.org/db/conf/ancs/index.html")</f>
        <v>https://dblp.org/db/conf/ancs/index.html</v>
      </c>
    </row>
    <row r="111">
      <c r="A111" s="117" t="str">
        <f>IFERROR(__xludf.DUMMYFUNCTION("""COMPUTED_VALUE"""),"Eventos da Área")</f>
        <v>Eventos da Área</v>
      </c>
      <c r="B111" s="111" t="str">
        <f>IFERROR(__xludf.DUMMYFUNCTION("""COMPUTED_VALUE"""),"ICT")</f>
        <v>ICT</v>
      </c>
      <c r="C111" s="112" t="str">
        <f>IFERROR(__xludf.DUMMYFUNCTION("""COMPUTED_VALUE"""),"International Conference on Telecommunications")</f>
        <v>International Conference on Telecommunications</v>
      </c>
      <c r="D111" s="108" t="str">
        <f>IFERROR(__xludf.DUMMYFUNCTION("""COMPUTED_VALUE"""),"?")</f>
        <v>?</v>
      </c>
      <c r="E111" s="59" t="str">
        <f>IFERROR(__xludf.DUMMYFUNCTION("""COMPUTED_VALUE"""),"?")</f>
        <v>?</v>
      </c>
      <c r="F111" s="57"/>
      <c r="I111" s="60" t="str">
        <f>IFERROR(__xludf.DUMMYFUNCTION("""COMPUTED_VALUE"""),"https://dblp.org/db/conf/ict/index.html")</f>
        <v>https://dblp.org/db/conf/ict/index.html</v>
      </c>
    </row>
    <row r="112">
      <c r="A112" s="117" t="str">
        <f>IFERROR(__xludf.DUMMYFUNCTION("""COMPUTED_VALUE"""),"Eventos da Área")</f>
        <v>Eventos da Área</v>
      </c>
      <c r="B112" s="111" t="str">
        <f>IFERROR(__xludf.DUMMYFUNCTION("""COMPUTED_VALUE"""),"WMNC")</f>
        <v>WMNC</v>
      </c>
      <c r="C112" s="112" t="str">
        <f>IFERROR(__xludf.DUMMYFUNCTION("""COMPUTED_VALUE"""),"Joint IFIP Wireless and Mobile Networking Conference")</f>
        <v>Joint IFIP Wireless and Mobile Networking Conference</v>
      </c>
      <c r="D112" s="108" t="str">
        <f>IFERROR(__xludf.DUMMYFUNCTION("""COMPUTED_VALUE"""),"?")</f>
        <v>?</v>
      </c>
      <c r="E112" s="59" t="str">
        <f>IFERROR(__xludf.DUMMYFUNCTION("""COMPUTED_VALUE"""),"?")</f>
        <v>?</v>
      </c>
      <c r="F112" s="57"/>
      <c r="I112" s="60" t="str">
        <f>IFERROR(__xludf.DUMMYFUNCTION("""COMPUTED_VALUE"""),"https://dblp.org/db/conf/wmnc/index.html")</f>
        <v>https://dblp.org/db/conf/wmnc/index.html</v>
      </c>
    </row>
    <row r="113">
      <c r="A113" s="117" t="str">
        <f>IFERROR(__xludf.DUMMYFUNCTION("""COMPUTED_VALUE"""),"Eventos da Área")</f>
        <v>Eventos da Área</v>
      </c>
      <c r="B113" s="111" t="str">
        <f>IFERROR(__xludf.DUMMYFUNCTION("""COMPUTED_VALUE"""),"APNOMS")</f>
        <v>APNOMS</v>
      </c>
      <c r="C113" s="112" t="str">
        <f>IFERROR(__xludf.DUMMYFUNCTION("""COMPUTED_VALUE"""),"Asia-Pacific Network Operations and Management Symposium")</f>
        <v>Asia-Pacific Network Operations and Management Symposium</v>
      </c>
      <c r="D113" s="108" t="str">
        <f>IFERROR(__xludf.DUMMYFUNCTION("""COMPUTED_VALUE"""),"?")</f>
        <v>?</v>
      </c>
      <c r="E113" s="59" t="str">
        <f>IFERROR(__xludf.DUMMYFUNCTION("""COMPUTED_VALUE"""),"?")</f>
        <v>?</v>
      </c>
      <c r="F113" s="57"/>
      <c r="I113" s="60" t="str">
        <f>IFERROR(__xludf.DUMMYFUNCTION("""COMPUTED_VALUE"""),"https://dblp.org/db/conf/apnoms/index.html")</f>
        <v>https://dblp.org/db/conf/apnoms/index.html</v>
      </c>
    </row>
    <row r="114">
      <c r="A114" s="117" t="str">
        <f>IFERROR(__xludf.DUMMYFUNCTION("""COMPUTED_VALUE"""),"Eventos da Área")</f>
        <v>Eventos da Área</v>
      </c>
      <c r="B114" s="111" t="str">
        <f>IFERROR(__xludf.DUMMYFUNCTION("""COMPUTED_VALUE"""),"ISADS")</f>
        <v>ISADS</v>
      </c>
      <c r="C114" s="112" t="str">
        <f>IFERROR(__xludf.DUMMYFUNCTION("""COMPUTED_VALUE"""),"International Symposium on Autonomous Decentralized Systems")</f>
        <v>International Symposium on Autonomous Decentralized Systems</v>
      </c>
      <c r="D114" s="108" t="str">
        <f>IFERROR(__xludf.DUMMYFUNCTION("""COMPUTED_VALUE"""),"?")</f>
        <v>?</v>
      </c>
      <c r="E114" s="59" t="str">
        <f>IFERROR(__xludf.DUMMYFUNCTION("""COMPUTED_VALUE"""),"?")</f>
        <v>?</v>
      </c>
      <c r="F114" s="57"/>
      <c r="I114" s="60" t="str">
        <f>IFERROR(__xludf.DUMMYFUNCTION("""COMPUTED_VALUE"""),"https://dblp.org/db/conf/isads/index.html")</f>
        <v>https://dblp.org/db/conf/isads/index.html</v>
      </c>
    </row>
    <row r="115">
      <c r="A115" s="117" t="str">
        <f>IFERROR(__xludf.DUMMYFUNCTION("""COMPUTED_VALUE"""),"Eventos da Área")</f>
        <v>Eventos da Área</v>
      </c>
      <c r="B115" s="111" t="str">
        <f>IFERROR(__xludf.DUMMYFUNCTION("""COMPUTED_VALUE"""),"Med-Hoc-Net")</f>
        <v>Med-Hoc-Net</v>
      </c>
      <c r="C115" s="112" t="str">
        <f>IFERROR(__xludf.DUMMYFUNCTION("""COMPUTED_VALUE"""),"Mediterranean Ad Hoc Networking Workshop")</f>
        <v>Mediterranean Ad Hoc Networking Workshop</v>
      </c>
      <c r="D115" s="108">
        <f>IFERROR(__xludf.DUMMYFUNCTION("""COMPUTED_VALUE"""),12.0)</f>
        <v>12</v>
      </c>
      <c r="E115" s="59" t="str">
        <f>IFERROR(__xludf.DUMMYFUNCTION("""COMPUTED_VALUE"""),"https://scholar.google.com/citations?hl=pt-BR&amp;view_op=search_venues&amp;vq=Mediterranean+Communication+and+Computer+Networking+Conference&amp;btnG=")</f>
        <v>https://scholar.google.com/citations?hl=pt-BR&amp;view_op=search_venues&amp;vq=Mediterranean+Communication+and+Computer+Networking+Conference&amp;btnG=</v>
      </c>
      <c r="F115" s="57" t="str">
        <f>IFERROR(__xludf.DUMMYFUNCTION("""COMPUTED_VALUE"""),"MedComNet")</f>
        <v>MedComNet</v>
      </c>
      <c r="G115" t="str">
        <f>IFERROR(__xludf.DUMMYFUNCTION("""COMPUTED_VALUE"""),"Mediterranean Communication and Computer Networking Conference")</f>
        <v>Mediterranean Communication and Computer Networking Conference</v>
      </c>
      <c r="I115" s="60" t="str">
        <f>IFERROR(__xludf.DUMMYFUNCTION("""COMPUTED_VALUE"""),"https://dblp.org/db/conf/medhocnet/index.html")</f>
        <v>https://dblp.org/db/conf/medhocnet/index.html</v>
      </c>
    </row>
    <row r="116">
      <c r="A116" s="117" t="str">
        <f>IFERROR(__xludf.DUMMYFUNCTION("""COMPUTED_VALUE"""),"Eventos da Área")</f>
        <v>Eventos da Área</v>
      </c>
      <c r="B116" s="111" t="str">
        <f>IFERROR(__xludf.DUMMYFUNCTION("""COMPUTED_VALUE"""),"IDCS")</f>
        <v>IDCS</v>
      </c>
      <c r="C116" s="112" t="str">
        <f>IFERROR(__xludf.DUMMYFUNCTION("""COMPUTED_VALUE"""),"International Conference on Internet and Distributed Computing Systems")</f>
        <v>International Conference on Internet and Distributed Computing Systems</v>
      </c>
      <c r="D116" s="108" t="str">
        <f>IFERROR(__xludf.DUMMYFUNCTION("""COMPUTED_VALUE"""),"?")</f>
        <v>?</v>
      </c>
      <c r="E116" s="59" t="str">
        <f>IFERROR(__xludf.DUMMYFUNCTION("""COMPUTED_VALUE"""),"?")</f>
        <v>?</v>
      </c>
      <c r="F116" s="57"/>
      <c r="I116" s="60" t="str">
        <f>IFERROR(__xludf.DUMMYFUNCTION("""COMPUTED_VALUE"""),"https://dblp.org/db/conf/idcs/index.html")</f>
        <v>https://dblp.org/db/conf/idcs/index.html</v>
      </c>
    </row>
    <row r="117">
      <c r="A117" s="117" t="str">
        <f>IFERROR(__xludf.DUMMYFUNCTION("""COMPUTED_VALUE"""),"Eventos da Área")</f>
        <v>Eventos da Área</v>
      </c>
      <c r="B117" s="111" t="str">
        <f>IFERROR(__xludf.DUMMYFUNCTION("""COMPUTED_VALUE"""),"DRCN")</f>
        <v>DRCN</v>
      </c>
      <c r="C117" s="112" t="str">
        <f>IFERROR(__xludf.DUMMYFUNCTION("""COMPUTED_VALUE"""),"International Conference on the Design of Reliable Communication Networks")</f>
        <v>International Conference on the Design of Reliable Communication Networks</v>
      </c>
      <c r="D117" s="108" t="str">
        <f>IFERROR(__xludf.DUMMYFUNCTION("""COMPUTED_VALUE"""),"?")</f>
        <v>?</v>
      </c>
      <c r="E117" s="59" t="str">
        <f>IFERROR(__xludf.DUMMYFUNCTION("""COMPUTED_VALUE"""),"?")</f>
        <v>?</v>
      </c>
      <c r="F117" s="57"/>
      <c r="I117" s="60" t="str">
        <f>IFERROR(__xludf.DUMMYFUNCTION("""COMPUTED_VALUE"""),"https://dblp.org/db/conf/drcn/index.html")</f>
        <v>https://dblp.org/db/conf/drcn/index.html</v>
      </c>
    </row>
    <row r="118">
      <c r="A118" s="117" t="str">
        <f>IFERROR(__xludf.DUMMYFUNCTION("""COMPUTED_VALUE"""),"Eventos da Área")</f>
        <v>Eventos da Área</v>
      </c>
      <c r="B118" s="111" t="str">
        <f>IFERROR(__xludf.DUMMYFUNCTION("""COMPUTED_VALUE"""),"ADHOC-NOW")</f>
        <v>ADHOC-NOW</v>
      </c>
      <c r="C118" s="112" t="str">
        <f>IFERROR(__xludf.DUMMYFUNCTION("""COMPUTED_VALUE"""),"International Conference on Ad-Hoc Networks and Wireless")</f>
        <v>International Conference on Ad-Hoc Networks and Wireless</v>
      </c>
      <c r="D118" s="108" t="str">
        <f>IFERROR(__xludf.DUMMYFUNCTION("""COMPUTED_VALUE"""),"?")</f>
        <v>?</v>
      </c>
      <c r="E118" s="59"/>
      <c r="F118" s="57"/>
      <c r="I118" s="60" t="str">
        <f>IFERROR(__xludf.DUMMYFUNCTION("""COMPUTED_VALUE"""),"https://dblp.org/db/conf/adhoc-now/index.html")</f>
        <v>https://dblp.org/db/conf/adhoc-now/index.html</v>
      </c>
    </row>
    <row r="119">
      <c r="A119" s="117" t="str">
        <f>IFERROR(__xludf.DUMMYFUNCTION("""COMPUTED_VALUE"""),"Eventos da Área")</f>
        <v>Eventos da Área</v>
      </c>
      <c r="B119" s="111" t="str">
        <f>IFERROR(__xludf.DUMMYFUNCTION("""COMPUTED_VALUE"""),"EWSDN")</f>
        <v>EWSDN</v>
      </c>
      <c r="C119" s="112" t="str">
        <f>IFERROR(__xludf.DUMMYFUNCTION("""COMPUTED_VALUE"""),"European Workshop on Software Defined Networks")</f>
        <v>European Workshop on Software Defined Networks</v>
      </c>
      <c r="D119" s="108" t="str">
        <f>IFERROR(__xludf.DUMMYFUNCTION("""COMPUTED_VALUE"""),"?")</f>
        <v>?</v>
      </c>
      <c r="E119" s="59"/>
      <c r="F119" s="57"/>
      <c r="I119" s="60" t="str">
        <f>IFERROR(__xludf.DUMMYFUNCTION("""COMPUTED_VALUE"""),"https://dblp.org/db/conf/ewsdn/index.html")</f>
        <v>https://dblp.org/db/conf/ewsdn/index.html</v>
      </c>
    </row>
    <row r="120">
      <c r="A120" s="117" t="str">
        <f>IFERROR(__xludf.DUMMYFUNCTION("""COMPUTED_VALUE"""),"Eventos da Área")</f>
        <v>Eventos da Área</v>
      </c>
      <c r="B120" s="30" t="str">
        <f>IFERROR(__xludf.DUMMYFUNCTION("""COMPUTED_VALUE"""),"WCNC")</f>
        <v>WCNC</v>
      </c>
      <c r="C120" s="111" t="str">
        <f>IFERROR(__xludf.DUMMYFUNCTION("""COMPUTED_VALUE"""),"IEEE Wireless Communications and Networking Conference")</f>
        <v>IEEE Wireless Communications and Networking Conference</v>
      </c>
      <c r="D120" s="108" t="str">
        <f>IFERROR(__xludf.DUMMYFUNCTION("""COMPUTED_VALUE"""),"?")</f>
        <v>?</v>
      </c>
      <c r="E120" s="59" t="str">
        <f>IFERROR(__xludf.DUMMYFUNCTION("""COMPUTED_VALUE"""),"Não consegui encontrar o h5 da conferência principal, apenas o h5 dos workshops (entrada WCNCW)")</f>
        <v>Não consegui encontrar o h5 da conferência principal, apenas o h5 dos workshops (entrada WCNCW)</v>
      </c>
      <c r="F120" s="57"/>
      <c r="I120" s="60" t="str">
        <f>IFERROR(__xludf.DUMMYFUNCTION("""COMPUTED_VALUE"""),"https://dblp.org/db/conf/wcnc/index.html")</f>
        <v>https://dblp.org/db/conf/wcnc/index.html</v>
      </c>
    </row>
    <row r="121">
      <c r="A121" s="117" t="str">
        <f>IFERROR(__xludf.DUMMYFUNCTION("""COMPUTED_VALUE"""),"Eventos da Área")</f>
        <v>Eventos da Área</v>
      </c>
      <c r="B121" s="30" t="str">
        <f>IFERROR(__xludf.DUMMYFUNCTION("""COMPUTED_VALUE"""),"EWSN")</f>
        <v>EWSN</v>
      </c>
      <c r="C121" s="111" t="str">
        <f>IFERROR(__xludf.DUMMYFUNCTION("""COMPUTED_VALUE"""),"European Conference on Wireless Sensor Networks")</f>
        <v>European Conference on Wireless Sensor Networks</v>
      </c>
      <c r="D121" s="108">
        <f>IFERROR(__xludf.DUMMYFUNCTION("""COMPUTED_VALUE"""),17.0)</f>
        <v>17</v>
      </c>
      <c r="E121" s="59" t="str">
        <f>IFERROR(__xludf.DUMMYFUNCTION("""COMPUTED_VALUE"""),"https://scholar.google.com/citations?hl=pt-BR&amp;view_op=list_hcore&amp;venue=sTp_oa_iyPIJ.2024")</f>
        <v>https://scholar.google.com/citations?hl=pt-BR&amp;view_op=list_hcore&amp;venue=sTp_oa_iyPIJ.2024</v>
      </c>
      <c r="F121" s="57"/>
      <c r="G121" t="str">
        <f>IFERROR(__xludf.DUMMYFUNCTION("""COMPUTED_VALUE"""),"International Conference on Embedded Wireless Systems and Networks")</f>
        <v>International Conference on Embedded Wireless Systems and Networks</v>
      </c>
      <c r="I121" s="60" t="str">
        <f>IFERROR(__xludf.DUMMYFUNCTION("""COMPUTED_VALUE"""),"https://dblp.org/db/conf/ewsn/index.html")</f>
        <v>https://dblp.org/db/conf/ewsn/index.html</v>
      </c>
    </row>
    <row r="122">
      <c r="A122" s="117" t="str">
        <f>IFERROR(__xludf.DUMMYFUNCTION("""COMPUTED_VALUE"""),"Eventos da Área")</f>
        <v>Eventos da Área</v>
      </c>
      <c r="B122" s="57" t="str">
        <f>IFERROR(__xludf.DUMMYFUNCTION("""COMPUTED_VALUE"""),"GreenCom")</f>
        <v>GreenCom</v>
      </c>
      <c r="C122" s="57" t="str">
        <f>IFERROR(__xludf.DUMMYFUNCTION("""COMPUTED_VALUE"""),"IEEE International Conference on Green Computing and Communications")</f>
        <v>IEEE International Conference on Green Computing and Communications</v>
      </c>
      <c r="D122" s="67" t="str">
        <f>IFERROR(__xludf.DUMMYFUNCTION("""COMPUTED_VALUE"""),"?")</f>
        <v>?</v>
      </c>
      <c r="E122" s="59"/>
      <c r="F122" s="57"/>
      <c r="I122" s="60" t="str">
        <f>IFERROR(__xludf.DUMMYFUNCTION("""COMPUTED_VALUE"""),"https://dblp.org/db/conf/greencom/index.html")</f>
        <v>https://dblp.org/db/conf/greencom/index.html</v>
      </c>
    </row>
    <row r="123">
      <c r="A123" s="117" t="str">
        <f>IFERROR(__xludf.DUMMYFUNCTION("""COMPUTED_VALUE"""),"Eventos da Área")</f>
        <v>Eventos da Área</v>
      </c>
      <c r="B123" s="57" t="str">
        <f>IFERROR(__xludf.DUMMYFUNCTION("""COMPUTED_VALUE"""),"MOBIWAC")</f>
        <v>MOBIWAC</v>
      </c>
      <c r="C123" s="57" t="str">
        <f>IFERROR(__xludf.DUMMYFUNCTION("""COMPUTED_VALUE"""),"ACM International Symposium on Mobility Management and Wireless Access")</f>
        <v>ACM International Symposium on Mobility Management and Wireless Access</v>
      </c>
      <c r="D123" s="67" t="str">
        <f>IFERROR(__xludf.DUMMYFUNCTION("""COMPUTED_VALUE"""),"?")</f>
        <v>?</v>
      </c>
      <c r="E123" s="59"/>
      <c r="F123" s="57"/>
      <c r="I123" s="60" t="str">
        <f>IFERROR(__xludf.DUMMYFUNCTION("""COMPUTED_VALUE"""),"https://dblp.org/db/conf/mobiwac/index.html")</f>
        <v>https://dblp.org/db/conf/mobiwac/index.html</v>
      </c>
    </row>
    <row r="124">
      <c r="A124" s="117" t="str">
        <f>IFERROR(__xludf.DUMMYFUNCTION("""COMPUTED_VALUE"""),"Eventos da Área")</f>
        <v>Eventos da Área</v>
      </c>
      <c r="B124" s="57" t="str">
        <f>IFERROR(__xludf.DUMMYFUNCTION("""COMPUTED_VALUE"""),"NEW2AN")</f>
        <v>NEW2AN</v>
      </c>
      <c r="C124" s="57" t="str">
        <f>IFERROR(__xludf.DUMMYFUNCTION("""COMPUTED_VALUE"""),"International Conference on Internet of Things, Smart Spaces, and Next Generation Networks and Systems")</f>
        <v>International Conference on Internet of Things, Smart Spaces, and Next Generation Networks and Systems</v>
      </c>
      <c r="D124" s="67" t="str">
        <f>IFERROR(__xludf.DUMMYFUNCTION("""COMPUTED_VALUE"""),"?")</f>
        <v>?</v>
      </c>
      <c r="E124" s="59"/>
      <c r="F124" s="57"/>
      <c r="I124" s="60" t="str">
        <f>IFERROR(__xludf.DUMMYFUNCTION("""COMPUTED_VALUE"""),"https://dblp.org/db/conf/new2an/index.html")</f>
        <v>https://dblp.org/db/conf/new2an/index.html</v>
      </c>
    </row>
    <row r="125">
      <c r="A125" t="str">
        <f>IFERROR(__xludf.DUMMYFUNCTION("""COMPUTED_VALUE"""),"Eventos da Área")</f>
        <v>Eventos da Área</v>
      </c>
      <c r="B125" t="str">
        <f>IFERROR(__xludf.DUMMYFUNCTION("""COMPUTED_VALUE"""),"PE-WASUM")</f>
        <v>PE-WASUM</v>
      </c>
      <c r="C125" t="str">
        <f>IFERROR(__xludf.DUMMYFUNCTION("""COMPUTED_VALUE"""),"ACM International Symposium on Performance Evaluation of Wireless Ad Hoc, Sensor, and Ubiquitous Networks")</f>
        <v>ACM International Symposium on Performance Evaluation of Wireless Ad Hoc, Sensor, and Ubiquitous Networks</v>
      </c>
      <c r="D125" t="str">
        <f>IFERROR(__xludf.DUMMYFUNCTION("""COMPUTED_VALUE"""),"?")</f>
        <v>?</v>
      </c>
      <c r="E125" s="59"/>
      <c r="I125" s="60" t="str">
        <f>IFERROR(__xludf.DUMMYFUNCTION("""COMPUTED_VALUE"""),"https://dblp.org/db/conf/pe-wasun/index.html")</f>
        <v>https://dblp.org/db/conf/pe-wasun/index.html</v>
      </c>
    </row>
    <row r="126">
      <c r="A126" t="str">
        <f>IFERROR(__xludf.DUMMYFUNCTION("""COMPUTED_VALUE"""),"Eventos da Área")</f>
        <v>Eventos da Área</v>
      </c>
      <c r="B126" t="str">
        <f>IFERROR(__xludf.DUMMYFUNCTION("""COMPUTED_VALUE"""),"Q2SWinet")</f>
        <v>Q2SWinet</v>
      </c>
      <c r="C126" t="str">
        <f>IFERROR(__xludf.DUMMYFUNCTION("""COMPUTED_VALUE"""),"ACM Symposium on QoS and Security for Wireless and Mobile Networks")</f>
        <v>ACM Symposium on QoS and Security for Wireless and Mobile Networks</v>
      </c>
      <c r="D126" t="str">
        <f>IFERROR(__xludf.DUMMYFUNCTION("""COMPUTED_VALUE"""),"?")</f>
        <v>?</v>
      </c>
      <c r="E126" s="59"/>
      <c r="I126" s="60" t="str">
        <f>IFERROR(__xludf.DUMMYFUNCTION("""COMPUTED_VALUE"""),"https://dblp.org/db/conf/mswim/index.html")</f>
        <v>https://dblp.org/db/conf/mswim/index.html</v>
      </c>
    </row>
    <row r="127">
      <c r="A127" t="str">
        <f>IFERROR(__xludf.DUMMYFUNCTION("""COMPUTED_VALUE"""),"Eventos da Área")</f>
        <v>Eventos da Área</v>
      </c>
      <c r="B127" t="str">
        <f>IFERROR(__xludf.DUMMYFUNCTION("""COMPUTED_VALUE"""),"LANC")</f>
        <v>LANC</v>
      </c>
      <c r="C127" t="str">
        <f>IFERROR(__xludf.DUMMYFUNCTION("""COMPUTED_VALUE"""),"Latin American Networking Conference")</f>
        <v>Latin American Networking Conference</v>
      </c>
      <c r="D127" t="str">
        <f>IFERROR(__xludf.DUMMYFUNCTION("""COMPUTED_VALUE"""),"?")</f>
        <v>?</v>
      </c>
      <c r="E127" s="59"/>
      <c r="I127" s="60" t="str">
        <f>IFERROR(__xludf.DUMMYFUNCTION("""COMPUTED_VALUE"""),"https://dblp.org/db/conf/lanc/index.html")</f>
        <v>https://dblp.org/db/conf/lanc/index.html</v>
      </c>
    </row>
    <row r="128">
      <c r="A128" t="str">
        <f>IFERROR(__xludf.DUMMYFUNCTION("""COMPUTED_VALUE"""),"Eventos da Área")</f>
        <v>Eventos da Área</v>
      </c>
      <c r="B128" t="str">
        <f>IFERROR(__xludf.DUMMYFUNCTION("""COMPUTED_VALUE"""),"LANOMS")</f>
        <v>LANOMS</v>
      </c>
      <c r="C128" t="str">
        <f>IFERROR(__xludf.DUMMYFUNCTION("""COMPUTED_VALUE"""),"Latin-American Network Operations and Management Symposium")</f>
        <v>Latin-American Network Operations and Management Symposium</v>
      </c>
      <c r="D128" t="str">
        <f>IFERROR(__xludf.DUMMYFUNCTION("""COMPUTED_VALUE"""),"?")</f>
        <v>?</v>
      </c>
      <c r="E128" s="59"/>
      <c r="I128" s="60" t="str">
        <f>IFERROR(__xludf.DUMMYFUNCTION("""COMPUTED_VALUE"""),"https://dblp.org/db/conf/lanoms/index.html")</f>
        <v>https://dblp.org/db/conf/lanoms/index.html</v>
      </c>
    </row>
    <row r="129">
      <c r="A129" t="str">
        <f>IFERROR(__xludf.DUMMYFUNCTION("""COMPUTED_VALUE"""),"Eventos da Área")</f>
        <v>Eventos da Área</v>
      </c>
      <c r="B129" t="str">
        <f>IFERROR(__xludf.DUMMYFUNCTION("""COMPUTED_VALUE"""),"ManSDN/NFV")</f>
        <v>ManSDN/NFV</v>
      </c>
      <c r="C129" t="str">
        <f>IFERROR(__xludf.DUMMYFUNCTION("""COMPUTED_VALUE"""),"International Workshop on Management of SDN and NFV Systems")</f>
        <v>International Workshop on Management of SDN and NFV Systems</v>
      </c>
      <c r="D129" t="str">
        <f>IFERROR(__xludf.DUMMYFUNCTION("""COMPUTED_VALUE"""),"?")</f>
        <v>?</v>
      </c>
      <c r="E129" s="59"/>
      <c r="I129" t="str">
        <f>IFERROR(__xludf.DUMMYFUNCTION("""COMPUTED_VALUE"""),"?")</f>
        <v>?</v>
      </c>
    </row>
    <row r="130">
      <c r="A130" t="str">
        <f>IFERROR(__xludf.DUMMYFUNCTION("""COMPUTED_VALUE"""),"Eventos da Área")</f>
        <v>Eventos da Área</v>
      </c>
      <c r="B130" t="str">
        <f>IFERROR(__xludf.DUMMYFUNCTION("""COMPUTED_VALUE"""),"LATINCLOUD")</f>
        <v>LATINCLOUD</v>
      </c>
      <c r="C130" t="str">
        <f>IFERROR(__xludf.DUMMYFUNCTION("""COMPUTED_VALUE"""),"IEEE Latin America Conference on Cloud Computing and Communications")</f>
        <v>IEEE Latin America Conference on Cloud Computing and Communications</v>
      </c>
      <c r="D130" t="str">
        <f>IFERROR(__xludf.DUMMYFUNCTION("""COMPUTED_VALUE"""),"?")</f>
        <v>?</v>
      </c>
      <c r="E130" s="59"/>
      <c r="I130" s="60" t="str">
        <f>IFERROR(__xludf.DUMMYFUNCTION("""COMPUTED_VALUE"""),"https://dblp.org/db/conf/latincloud/index.html")</f>
        <v>https://dblp.org/db/conf/latincloud/index.html</v>
      </c>
    </row>
    <row r="131">
      <c r="A131" t="str">
        <f>IFERROR(__xludf.DUMMYFUNCTION("""COMPUTED_VALUE"""),"Eventos da Área")</f>
        <v>Eventos da Área</v>
      </c>
      <c r="B131" t="str">
        <f>IFERROR(__xludf.DUMMYFUNCTION("""COMPUTED_VALUE"""),"LANMAN")</f>
        <v>LANMAN</v>
      </c>
      <c r="C131" t="str">
        <f>IFERROR(__xludf.DUMMYFUNCTION("""COMPUTED_VALUE"""),"IEEE International Symposium on Local and Metropolitan Area Networks")</f>
        <v>IEEE International Symposium on Local and Metropolitan Area Networks</v>
      </c>
      <c r="D131" t="str">
        <f>IFERROR(__xludf.DUMMYFUNCTION("""COMPUTED_VALUE"""),"?")</f>
        <v>?</v>
      </c>
      <c r="E131" s="59"/>
      <c r="I131" s="60" t="str">
        <f>IFERROR(__xludf.DUMMYFUNCTION("""COMPUTED_VALUE"""),"https://dblp.org/db/conf/lanman/index.html")</f>
        <v>https://dblp.org/db/conf/lanman/index.html</v>
      </c>
    </row>
    <row r="132">
      <c r="A132" t="str">
        <f>IFERROR(__xludf.DUMMYFUNCTION("""COMPUTED_VALUE"""),"Eventos da Área")</f>
        <v>Eventos da Área</v>
      </c>
      <c r="B132" t="str">
        <f>IFERROR(__xludf.DUMMYFUNCTION("""COMPUTED_VALUE"""),"MASS")</f>
        <v>MASS</v>
      </c>
      <c r="C132" t="str">
        <f>IFERROR(__xludf.DUMMYFUNCTION("""COMPUTED_VALUE"""),"IEEE International Conference on Mobile Ad-Hoc and Smart Systems")</f>
        <v>IEEE International Conference on Mobile Ad-Hoc and Smart Systems</v>
      </c>
      <c r="D132" t="str">
        <f>IFERROR(__xludf.DUMMYFUNCTION("""COMPUTED_VALUE"""),"?")</f>
        <v>?</v>
      </c>
      <c r="E132" s="59"/>
      <c r="I132" s="60" t="str">
        <f>IFERROR(__xludf.DUMMYFUNCTION("""COMPUTED_VALUE"""),"https://dblp.org/db/conf/mass/index.html")</f>
        <v>https://dblp.org/db/conf/mass/index.html</v>
      </c>
    </row>
    <row r="133">
      <c r="A133" t="str">
        <f>IFERROR(__xludf.DUMMYFUNCTION("""COMPUTED_VALUE"""),"Eventos da Área")</f>
        <v>Eventos da Área</v>
      </c>
      <c r="B133" t="str">
        <f>IFERROR(__xludf.DUMMYFUNCTION("""COMPUTED_VALUE"""),"SBrT")</f>
        <v>SBrT</v>
      </c>
      <c r="C133" t="str">
        <f>IFERROR(__xludf.DUMMYFUNCTION("""COMPUTED_VALUE"""),"Simpósio Brasileiro de Telecomunicações e Processamento de Sinais")</f>
        <v>Simpósio Brasileiro de Telecomunicações e Processamento de Sinais</v>
      </c>
      <c r="D133" t="str">
        <f>IFERROR(__xludf.DUMMYFUNCTION("""COMPUTED_VALUE"""),"?")</f>
        <v>?</v>
      </c>
      <c r="E133" s="59"/>
      <c r="I133" s="60" t="str">
        <f>IFERROR(__xludf.DUMMYFUNCTION("""COMPUTED_VALUE"""),"https://biblioteca.sbrt.org.br/")</f>
        <v>https://biblioteca.sbrt.org.br/</v>
      </c>
    </row>
    <row r="134">
      <c r="A134" t="str">
        <f>IFERROR(__xludf.DUMMYFUNCTION("""COMPUTED_VALUE"""),"Eventos da Área")</f>
        <v>Eventos da Área</v>
      </c>
      <c r="B134" t="str">
        <f>IFERROR(__xludf.DUMMYFUNCTION("""COMPUTED_VALUE"""),"WONS")</f>
        <v>WONS</v>
      </c>
      <c r="C134" t="str">
        <f>IFERROR(__xludf.DUMMYFUNCTION("""COMPUTED_VALUE"""),"Wireless On-demand Network systems and Services Conference")</f>
        <v>Wireless On-demand Network systems and Services Conference</v>
      </c>
      <c r="D134">
        <f>IFERROR(__xludf.DUMMYFUNCTION("""COMPUTED_VALUE"""),7.0)</f>
        <v>7</v>
      </c>
      <c r="E134" s="59" t="str">
        <f>IFERROR(__xludf.DUMMYFUNCTION("""COMPUTED_VALUE"""),"https://scholar.google.com/scholar?as_q=&amp;as_epq=&amp;as_oq=&amp;as_eq=&amp;as_occt=any&amp;as_sauthors=&amp;as_publication=Wireless+On-demand+Network+systems+and+Services+Conference&amp;as_ylo=2020&amp;as_yhi=2024&amp;hl=pt-BR&amp;as_sdt=0%2C5")</f>
        <v>https://scholar.google.com/scholar?as_q=&amp;as_epq=&amp;as_oq=&amp;as_eq=&amp;as_occt=any&amp;as_sauthors=&amp;as_publication=Wireless+On-demand+Network+systems+and+Services+Conference&amp;as_ylo=2020&amp;as_yhi=2024&amp;hl=pt-BR&amp;as_sdt=0%2C5</v>
      </c>
      <c r="I134" s="60" t="str">
        <f>IFERROR(__xludf.DUMMYFUNCTION("""COMPUTED_VALUE"""),"https://dblp.org/db/conf/wons/index.html")</f>
        <v>https://dblp.org/db/conf/wons/index.html</v>
      </c>
    </row>
    <row r="135">
      <c r="A135" t="str">
        <f>IFERROR(__xludf.DUMMYFUNCTION("""COMPUTED_VALUE"""),"Eventos da Área")</f>
        <v>Eventos da Área</v>
      </c>
      <c r="B135" t="str">
        <f>IFERROR(__xludf.DUMMYFUNCTION("""COMPUTED_VALUE"""),"PerCom Workshops")</f>
        <v>PerCom Workshops</v>
      </c>
      <c r="C135" t="str">
        <f>IFERROR(__xludf.DUMMYFUNCTION("""COMPUTED_VALUE"""),"IEEE International Conference on Pervasive Computing and Communications Workshops and other Affiliated Events")</f>
        <v>IEEE International Conference on Pervasive Computing and Communications Workshops and other Affiliated Events</v>
      </c>
      <c r="D135">
        <f>IFERROR(__xludf.DUMMYFUNCTION("""COMPUTED_VALUE"""),29.0)</f>
        <v>29</v>
      </c>
      <c r="E135" s="59" t="str">
        <f>IFERROR(__xludf.DUMMYFUNCTION("""COMPUTED_VALUE"""),"https://scholar.google.com.br/citations?hl=pt-BR&amp;view_op=list_hcore&amp;venue=v9ZWX-p6j-gJ.2024")</f>
        <v>https://scholar.google.com.br/citations?hl=pt-BR&amp;view_op=list_hcore&amp;venue=v9ZWX-p6j-gJ.2024</v>
      </c>
      <c r="I135" s="60" t="str">
        <f>IFERROR(__xludf.DUMMYFUNCTION("""COMPUTED_VALUE"""),"https://dblp.org/db/conf/percom/index.html")</f>
        <v>https://dblp.org/db/conf/percom/index.html</v>
      </c>
    </row>
    <row r="136">
      <c r="A136" t="str">
        <f>IFERROR(__xludf.DUMMYFUNCTION("""COMPUTED_VALUE"""),"Eventos da Área")</f>
        <v>Eventos da Área</v>
      </c>
      <c r="B136" t="str">
        <f>IFERROR(__xludf.DUMMYFUNCTION("""COMPUTED_VALUE"""),"INFOCOM WKSHPS")</f>
        <v>INFOCOM WKSHPS</v>
      </c>
      <c r="C136" t="str">
        <f>IFERROR(__xludf.DUMMYFUNCTION("""COMPUTED_VALUE"""),"IEEE Conference on Computer Communications Workshops")</f>
        <v>IEEE Conference on Computer Communications Workshops</v>
      </c>
      <c r="D136">
        <f>IFERROR(__xludf.DUMMYFUNCTION("""COMPUTED_VALUE"""),43.0)</f>
        <v>43</v>
      </c>
      <c r="E136" s="59" t="str">
        <f>IFERROR(__xludf.DUMMYFUNCTION("""COMPUTED_VALUE"""),"https://scholar.google.com/scholar?as_q=&amp;as_epq=&amp;as_oq=&amp;as_eq=&amp;as_occt=any&amp;as_sauthors=&amp;as_publication=IEEE+Conference+on+Computer+Communications+Workshops&amp;as_ylo=2019&amp;as_yhi=2023&amp;hl=pt-BR&amp;as_sdt=0%2C5")</f>
        <v>https://scholar.google.com/scholar?as_q=&amp;as_epq=&amp;as_oq=&amp;as_eq=&amp;as_occt=any&amp;as_sauthors=&amp;as_publication=IEEE+Conference+on+Computer+Communications+Workshops&amp;as_ylo=2019&amp;as_yhi=2023&amp;hl=pt-BR&amp;as_sdt=0%2C5</v>
      </c>
      <c r="I136" s="60" t="str">
        <f>IFERROR(__xludf.DUMMYFUNCTION("""COMPUTED_VALUE"""),"https://dblp.org/db/conf/infocom/index.html")</f>
        <v>https://dblp.org/db/conf/infocom/index.html</v>
      </c>
    </row>
    <row r="137">
      <c r="A137" t="str">
        <f>IFERROR(__xludf.DUMMYFUNCTION("""COMPUTED_VALUE"""),"Eventos da Área")</f>
        <v>Eventos da Área</v>
      </c>
      <c r="B137" t="str">
        <f>IFERROR(__xludf.DUMMYFUNCTION("""COMPUTED_VALUE"""),"ICUAS")</f>
        <v>ICUAS</v>
      </c>
      <c r="C137" t="str">
        <f>IFERROR(__xludf.DUMMYFUNCTION("""COMPUTED_VALUE"""),"International Conference on Unmanned Aircraft Systems")</f>
        <v>International Conference on Unmanned Aircraft Systems</v>
      </c>
      <c r="D137">
        <f>IFERROR(__xludf.DUMMYFUNCTION("""COMPUTED_VALUE"""),31.0)</f>
        <v>31</v>
      </c>
      <c r="E137" s="59" t="str">
        <f>IFERROR(__xludf.DUMMYFUNCTION("""COMPUTED_VALUE"""),"https://scholar.google.com.br/citations?hl=en&amp;view_op=list_hcore&amp;venue=P7JmirE2spgJ.2024")</f>
        <v>https://scholar.google.com.br/citations?hl=en&amp;view_op=list_hcore&amp;venue=P7JmirE2spgJ.2024</v>
      </c>
    </row>
    <row r="138">
      <c r="A138" t="str">
        <f>IFERROR(__xludf.DUMMYFUNCTION("""COMPUTED_VALUE"""),"Eventos da Área")</f>
        <v>Eventos da Área</v>
      </c>
      <c r="B138" t="str">
        <f>IFERROR(__xludf.DUMMYFUNCTION("""COMPUTED_VALUE"""),"ICC Workshops")</f>
        <v>ICC Workshops</v>
      </c>
      <c r="C138" t="str">
        <f>IFERROR(__xludf.DUMMYFUNCTION("""COMPUTED_VALUE"""),"International Conference on Communications Workshops")</f>
        <v>International Conference on Communications Workshops</v>
      </c>
      <c r="D138">
        <f>IFERROR(__xludf.DUMMYFUNCTION("""COMPUTED_VALUE"""),39.0)</f>
        <v>39</v>
      </c>
      <c r="E138" s="59" t="str">
        <f>IFERROR(__xludf.DUMMYFUNCTION("""COMPUTED_VALUE"""),"https://scholar.google.com/scholar?as_q=&amp;as_epq=&amp;as_oq=&amp;as_eq=&amp;as_occt=any&amp;as_sauthors=&amp;as_publication=International+Conference+on+Communications+Workshops&amp;as_ylo=2020&amp;as_yhi=2024&amp;hl=pt-BR&amp;as_sdt=0%2C5")</f>
        <v>https://scholar.google.com/scholar?as_q=&amp;as_epq=&amp;as_oq=&amp;as_eq=&amp;as_occt=any&amp;as_sauthors=&amp;as_publication=International+Conference+on+Communications+Workshops&amp;as_ylo=2020&amp;as_yhi=2024&amp;hl=pt-BR&amp;as_sdt=0%2C5</v>
      </c>
      <c r="I138" s="60" t="str">
        <f>IFERROR(__xludf.DUMMYFUNCTION("""COMPUTED_VALUE"""),"https://dblp.org/db/conf/icc/index.html")</f>
        <v>https://dblp.org/db/conf/icc/index.html</v>
      </c>
    </row>
    <row r="139">
      <c r="A139" t="str">
        <f>IFERROR(__xludf.DUMMYFUNCTION("""COMPUTED_VALUE"""),"Eventos da Área")</f>
        <v>Eventos da Área</v>
      </c>
      <c r="B139" t="str">
        <f>IFERROR(__xludf.DUMMYFUNCTION("""COMPUTED_VALUE"""),"WWIC")</f>
        <v>WWIC</v>
      </c>
      <c r="C139" t="str">
        <f>IFERROR(__xludf.DUMMYFUNCTION("""COMPUTED_VALUE"""),"International Conference on Wired &amp; Wireless Internet Communications")</f>
        <v>International Conference on Wired &amp; Wireless Internet Communications</v>
      </c>
      <c r="E139" s="59"/>
      <c r="I139" s="60" t="str">
        <f>IFERROR(__xludf.DUMMYFUNCTION("""COMPUTED_VALUE"""),"https://dblp.org/db/conf/wwic/index.html")</f>
        <v>https://dblp.org/db/conf/wwic/index.html</v>
      </c>
    </row>
    <row r="140">
      <c r="E140" s="59"/>
    </row>
    <row r="141">
      <c r="E141" s="59"/>
    </row>
    <row r="142">
      <c r="E142" s="59"/>
    </row>
    <row r="143">
      <c r="E143" s="59"/>
    </row>
    <row r="144">
      <c r="E144" s="59"/>
    </row>
    <row r="145">
      <c r="E145" s="59"/>
    </row>
    <row r="146">
      <c r="E146" s="59"/>
    </row>
    <row r="147">
      <c r="E147" s="59"/>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I9"/>
    <hyperlink r:id="rId17" ref="E10"/>
    <hyperlink r:id="rId18" ref="I10"/>
    <hyperlink r:id="rId19" ref="E11"/>
    <hyperlink r:id="rId20" ref="I11"/>
    <hyperlink r:id="rId21" ref="E12"/>
    <hyperlink r:id="rId22" ref="I12"/>
    <hyperlink r:id="rId23" ref="E13"/>
    <hyperlink r:id="rId24" ref="I13"/>
    <hyperlink r:id="rId25" ref="E14"/>
    <hyperlink r:id="rId26" ref="I14"/>
    <hyperlink r:id="rId27" ref="E15"/>
    <hyperlink r:id="rId28" ref="I15"/>
    <hyperlink r:id="rId29" ref="E16"/>
    <hyperlink r:id="rId30" ref="I16"/>
    <hyperlink r:id="rId31" ref="E17"/>
    <hyperlink r:id="rId32" ref="I17"/>
    <hyperlink r:id="rId33" ref="E18"/>
    <hyperlink r:id="rId34" ref="I18"/>
    <hyperlink r:id="rId35" ref="E19"/>
    <hyperlink r:id="rId36" ref="I19"/>
    <hyperlink r:id="rId37" ref="E20"/>
    <hyperlink r:id="rId38" ref="I20"/>
    <hyperlink r:id="rId39" ref="E21"/>
    <hyperlink r:id="rId40" ref="I21"/>
    <hyperlink r:id="rId41" ref="J21"/>
    <hyperlink r:id="rId42" ref="I22"/>
    <hyperlink r:id="rId43" ref="I23"/>
    <hyperlink r:id="rId44" ref="E24"/>
    <hyperlink r:id="rId45" ref="I24"/>
    <hyperlink r:id="rId46" ref="E25"/>
    <hyperlink r:id="rId47" ref="I25"/>
    <hyperlink r:id="rId48" ref="E26"/>
    <hyperlink r:id="rId49" ref="I26"/>
    <hyperlink r:id="rId50" ref="E27"/>
    <hyperlink r:id="rId51" ref="I27"/>
    <hyperlink r:id="rId52" ref="E28"/>
    <hyperlink r:id="rId53" ref="I28"/>
    <hyperlink r:id="rId54" ref="E29"/>
    <hyperlink r:id="rId55" ref="I29"/>
    <hyperlink r:id="rId56" ref="E30"/>
    <hyperlink r:id="rId57" ref="I30"/>
    <hyperlink r:id="rId58" ref="E31"/>
    <hyperlink r:id="rId59" ref="I31"/>
    <hyperlink r:id="rId60" ref="E32"/>
    <hyperlink r:id="rId61" ref="I32"/>
    <hyperlink r:id="rId62" ref="E33"/>
    <hyperlink r:id="rId63" ref="I33"/>
    <hyperlink r:id="rId64" ref="E34"/>
    <hyperlink r:id="rId65" ref="I34"/>
    <hyperlink r:id="rId66" ref="E35"/>
    <hyperlink r:id="rId67" ref="I35"/>
    <hyperlink r:id="rId68" ref="E36"/>
    <hyperlink r:id="rId69" ref="I36"/>
    <hyperlink r:id="rId70" ref="E37"/>
    <hyperlink r:id="rId71" ref="I37"/>
    <hyperlink r:id="rId72" ref="E38"/>
    <hyperlink r:id="rId73" ref="I38"/>
    <hyperlink r:id="rId74" ref="E39"/>
    <hyperlink r:id="rId75" ref="I39"/>
    <hyperlink r:id="rId76" ref="E40"/>
    <hyperlink r:id="rId77" ref="I40"/>
    <hyperlink r:id="rId78" ref="E41"/>
    <hyperlink r:id="rId79" ref="I41"/>
    <hyperlink r:id="rId80" ref="E42"/>
    <hyperlink r:id="rId81" ref="I42"/>
    <hyperlink r:id="rId82" ref="E43"/>
    <hyperlink r:id="rId83" ref="I43"/>
    <hyperlink r:id="rId84" ref="E44"/>
    <hyperlink r:id="rId85" ref="I44"/>
    <hyperlink r:id="rId86" ref="E45"/>
    <hyperlink r:id="rId87" ref="I45"/>
    <hyperlink r:id="rId88" ref="E46"/>
    <hyperlink r:id="rId89" ref="I46"/>
    <hyperlink r:id="rId90" ref="E47"/>
    <hyperlink r:id="rId91" ref="I47"/>
    <hyperlink r:id="rId92" ref="E48"/>
    <hyperlink r:id="rId93" ref="I48"/>
    <hyperlink r:id="rId94" ref="E49"/>
    <hyperlink r:id="rId95" ref="I49"/>
    <hyperlink r:id="rId96" ref="E50"/>
    <hyperlink r:id="rId97" ref="I50"/>
    <hyperlink r:id="rId98" ref="E51"/>
    <hyperlink r:id="rId99" ref="I51"/>
    <hyperlink r:id="rId100" ref="E52"/>
    <hyperlink r:id="rId101" ref="I52"/>
    <hyperlink r:id="rId102" ref="E53"/>
    <hyperlink r:id="rId103" ref="I53"/>
    <hyperlink r:id="rId104" ref="E54"/>
    <hyperlink r:id="rId105" ref="I54"/>
    <hyperlink r:id="rId106" ref="E55"/>
    <hyperlink r:id="rId107" ref="I55"/>
    <hyperlink r:id="rId108" ref="E56"/>
    <hyperlink r:id="rId109" ref="I56"/>
    <hyperlink r:id="rId110" ref="E57"/>
    <hyperlink r:id="rId111" ref="I57"/>
    <hyperlink r:id="rId112" ref="E58"/>
    <hyperlink r:id="rId113" ref="I58"/>
    <hyperlink r:id="rId114" ref="E59"/>
    <hyperlink r:id="rId115" ref="I59"/>
    <hyperlink r:id="rId116" ref="E60"/>
    <hyperlink r:id="rId117" ref="I60"/>
    <hyperlink r:id="rId118" ref="E61"/>
    <hyperlink r:id="rId119" ref="I61"/>
    <hyperlink r:id="rId120" ref="E62"/>
    <hyperlink r:id="rId121" ref="I62"/>
    <hyperlink r:id="rId122" ref="E63"/>
    <hyperlink r:id="rId123" ref="I63"/>
    <hyperlink r:id="rId124" ref="E64"/>
    <hyperlink r:id="rId125" ref="I64"/>
    <hyperlink r:id="rId126" ref="E65"/>
    <hyperlink r:id="rId127" ref="I65"/>
    <hyperlink r:id="rId128" ref="E66"/>
    <hyperlink r:id="rId129" ref="I66"/>
    <hyperlink r:id="rId130" ref="E67"/>
    <hyperlink r:id="rId131" ref="I67"/>
    <hyperlink r:id="rId132" ref="E68"/>
    <hyperlink r:id="rId133" ref="I68"/>
    <hyperlink r:id="rId134" ref="E69"/>
    <hyperlink r:id="rId135" ref="I69"/>
    <hyperlink r:id="rId136" ref="E70"/>
    <hyperlink r:id="rId137" ref="I70"/>
    <hyperlink r:id="rId138" ref="E71"/>
    <hyperlink r:id="rId139" ref="I71"/>
    <hyperlink r:id="rId140" ref="E72"/>
    <hyperlink r:id="rId141" ref="I72"/>
    <hyperlink r:id="rId142" ref="E73"/>
    <hyperlink r:id="rId143" ref="I73"/>
    <hyperlink r:id="rId144" ref="E74"/>
    <hyperlink r:id="rId145" ref="I74"/>
    <hyperlink r:id="rId146" ref="E75"/>
    <hyperlink r:id="rId147" ref="I75"/>
    <hyperlink r:id="rId148" ref="E76"/>
    <hyperlink r:id="rId149" ref="I76"/>
    <hyperlink r:id="rId150" ref="E77"/>
    <hyperlink r:id="rId151" ref="I77"/>
    <hyperlink r:id="rId152" ref="E78"/>
    <hyperlink r:id="rId153" ref="I78"/>
    <hyperlink r:id="rId154" ref="E79"/>
    <hyperlink r:id="rId155" ref="I79"/>
    <hyperlink r:id="rId156" ref="E80"/>
    <hyperlink r:id="rId157" ref="I80"/>
    <hyperlink r:id="rId158" ref="E81"/>
    <hyperlink r:id="rId159" ref="I81"/>
    <hyperlink r:id="rId160" ref="E82"/>
    <hyperlink r:id="rId161" ref="I82"/>
    <hyperlink r:id="rId162" ref="E83"/>
    <hyperlink r:id="rId163" ref="I83"/>
    <hyperlink r:id="rId164" ref="E84"/>
    <hyperlink r:id="rId165" ref="I84"/>
    <hyperlink r:id="rId166" ref="E85"/>
    <hyperlink r:id="rId167" ref="I85"/>
    <hyperlink r:id="rId168" ref="E86"/>
    <hyperlink r:id="rId169" ref="I86"/>
    <hyperlink r:id="rId170" ref="E87"/>
    <hyperlink r:id="rId171" ref="I87"/>
    <hyperlink r:id="rId172" ref="E88"/>
    <hyperlink r:id="rId173" ref="I88"/>
    <hyperlink r:id="rId174" ref="E89"/>
    <hyperlink r:id="rId175" ref="I89"/>
    <hyperlink r:id="rId176" ref="E90"/>
    <hyperlink r:id="rId177" ref="I90"/>
    <hyperlink r:id="rId178" ref="E91"/>
    <hyperlink r:id="rId179" ref="I91"/>
    <hyperlink r:id="rId180" ref="E92"/>
    <hyperlink r:id="rId181" ref="I92"/>
    <hyperlink r:id="rId182" ref="E93"/>
    <hyperlink r:id="rId183" ref="I93"/>
    <hyperlink r:id="rId184" ref="E94"/>
    <hyperlink r:id="rId185" ref="I94"/>
    <hyperlink r:id="rId186" ref="E95"/>
    <hyperlink r:id="rId187" ref="I95"/>
    <hyperlink r:id="rId188" ref="E96"/>
    <hyperlink r:id="rId189" ref="I96"/>
    <hyperlink r:id="rId190" ref="E97"/>
    <hyperlink r:id="rId191" ref="I97"/>
    <hyperlink r:id="rId192" ref="E98"/>
    <hyperlink r:id="rId193" ref="I98"/>
    <hyperlink r:id="rId194" ref="E99"/>
    <hyperlink r:id="rId195" ref="I99"/>
    <hyperlink r:id="rId196" ref="E100"/>
    <hyperlink r:id="rId197" ref="I100"/>
    <hyperlink r:id="rId198" ref="E101"/>
    <hyperlink r:id="rId199" ref="I101"/>
    <hyperlink r:id="rId200" ref="E102"/>
    <hyperlink r:id="rId201" ref="I102"/>
    <hyperlink r:id="rId202" ref="E103"/>
    <hyperlink r:id="rId203" ref="I103"/>
    <hyperlink r:id="rId204" ref="E104"/>
    <hyperlink r:id="rId205" ref="I104"/>
    <hyperlink r:id="rId206" ref="E105"/>
    <hyperlink r:id="rId207" ref="I105"/>
    <hyperlink r:id="rId208" ref="E106"/>
    <hyperlink r:id="rId209" ref="I106"/>
    <hyperlink r:id="rId210" ref="E107"/>
    <hyperlink r:id="rId211" ref="I107"/>
    <hyperlink r:id="rId212" ref="E108"/>
    <hyperlink r:id="rId213" ref="I108"/>
    <hyperlink r:id="rId214" ref="E109"/>
    <hyperlink r:id="rId215" ref="I109"/>
    <hyperlink r:id="rId216" ref="I110"/>
    <hyperlink r:id="rId217" ref="I111"/>
    <hyperlink r:id="rId218" ref="I112"/>
    <hyperlink r:id="rId219" ref="I113"/>
    <hyperlink r:id="rId220" ref="I114"/>
    <hyperlink r:id="rId221" ref="E115"/>
    <hyperlink r:id="rId222" ref="I115"/>
    <hyperlink r:id="rId223" ref="I116"/>
    <hyperlink r:id="rId224" ref="I117"/>
    <hyperlink r:id="rId225" ref="I118"/>
    <hyperlink r:id="rId226" ref="I119"/>
    <hyperlink r:id="rId227" ref="I120"/>
    <hyperlink r:id="rId228" ref="E121"/>
    <hyperlink r:id="rId229" ref="I121"/>
    <hyperlink r:id="rId230" ref="I122"/>
    <hyperlink r:id="rId231" ref="I123"/>
    <hyperlink r:id="rId232" ref="I124"/>
    <hyperlink r:id="rId233" ref="I125"/>
    <hyperlink r:id="rId234" ref="I126"/>
    <hyperlink r:id="rId235" ref="I127"/>
    <hyperlink r:id="rId236" ref="I128"/>
    <hyperlink r:id="rId237" ref="I130"/>
    <hyperlink r:id="rId238" ref="I131"/>
    <hyperlink r:id="rId239" ref="I132"/>
    <hyperlink r:id="rId240" ref="I133"/>
    <hyperlink r:id="rId241" ref="E134"/>
    <hyperlink r:id="rId242" ref="I134"/>
    <hyperlink r:id="rId243" ref="E135"/>
    <hyperlink r:id="rId244" ref="I135"/>
    <hyperlink r:id="rId245" ref="E136"/>
    <hyperlink r:id="rId246" ref="I136"/>
    <hyperlink r:id="rId247" ref="E137"/>
    <hyperlink r:id="rId248" ref="E138"/>
    <hyperlink r:id="rId249" ref="I138"/>
    <hyperlink r:id="rId250" ref="I139"/>
  </hyperlinks>
  <drawing r:id="rId25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72.88"/>
    <col customWidth="1" min="7" max="7" width="22.0"/>
    <col customWidth="1" min="8" max="8" width="27.5"/>
    <col customWidth="1" min="9" max="9" width="28.13"/>
    <col customWidth="1" min="10" max="10" width="28.63"/>
  </cols>
  <sheetData>
    <row r="1">
      <c r="A1" s="1" t="str">
        <f>IFERROR(__xludf.DUMMYFUNCTION("importrange(""https://docs.google.com/spreadsheets/d/15-v_TpFHyjykx1J3bUXiJtLZIQVnnfPMqa98mKN17j8/edit#gid=1223783274"",""CE-R!A1:J150"")"),"TOP")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s="1" t="str">
        <f>IFERROR(__xludf.DUMMYFUNCTION("""COMPUTED_VALUE"""),"Nova Sigla")</f>
        <v>Nova Sigla</v>
      </c>
      <c r="G1" s="2" t="str">
        <f>IFERROR(__xludf.DUMMYFUNCTION("""COMPUTED_VALUE"""),"Novo Nome")</f>
        <v>Novo Nome</v>
      </c>
      <c r="H1" s="2" t="str">
        <f>IFERROR(__xludf.DUMMYFUNCTION("""COMPUTED_VALUE"""),"Nome Alternativo")</f>
        <v>Nome Alternativo</v>
      </c>
      <c r="I1" s="2"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c r="X1" s="2"/>
      <c r="Y1" s="2"/>
      <c r="Z1" s="2"/>
    </row>
    <row r="2">
      <c r="A2" s="1" t="str">
        <f>IFERROR(__xludf.DUMMYFUNCTION("""COMPUTED_VALUE"""),"Top 10")</f>
        <v>Top 10</v>
      </c>
      <c r="B2" s="1" t="str">
        <f>IFERROR(__xludf.DUMMYFUNCTION("""COMPUTED_VALUE"""),"ICRA")</f>
        <v>ICRA</v>
      </c>
      <c r="C2" s="1" t="str">
        <f>IFERROR(__xludf.DUMMYFUNCTION("""COMPUTED_VALUE"""),"IEEE International Conference on Robotics and Automation")</f>
        <v>IEEE International Conference on Robotics and Automation</v>
      </c>
      <c r="D2" s="1">
        <f>IFERROR(__xludf.DUMMYFUNCTION("""COMPUTED_VALUE"""),94.0)</f>
        <v>94</v>
      </c>
      <c r="E2" s="59" t="str">
        <f>IFERROR(__xludf.DUMMYFUNCTION("""COMPUTED_VALUE"""),"https://scholar.google.com/citations?hl=en&amp;view_op=list_hcore&amp;venue=Z88T8Kej-9oJ.2020")</f>
        <v>https://scholar.google.com/citations?hl=en&amp;view_op=list_hcore&amp;venue=Z88T8Kej-9oJ.2020</v>
      </c>
      <c r="G2" s="2"/>
      <c r="H2" s="2"/>
      <c r="I2" s="2"/>
      <c r="J2" s="2"/>
      <c r="K2" s="2"/>
      <c r="L2" s="2"/>
      <c r="M2" s="2"/>
      <c r="N2" s="2"/>
      <c r="O2" s="2"/>
      <c r="P2" s="2"/>
      <c r="Q2" s="2"/>
      <c r="R2" s="2"/>
      <c r="S2" s="2"/>
      <c r="T2" s="2"/>
      <c r="U2" s="2"/>
      <c r="V2" s="2"/>
      <c r="W2" s="2"/>
      <c r="X2" s="2"/>
      <c r="Y2" s="2"/>
      <c r="Z2" s="2"/>
    </row>
    <row r="3">
      <c r="A3" s="58" t="str">
        <f>IFERROR(__xludf.DUMMYFUNCTION("""COMPUTED_VALUE"""),"Top 10")</f>
        <v>Top 10</v>
      </c>
      <c r="B3" s="118" t="str">
        <f>IFERROR(__xludf.DUMMYFUNCTION("""COMPUTED_VALUE"""),"IROS")</f>
        <v>IROS</v>
      </c>
      <c r="C3" s="118" t="str">
        <f>IFERROR(__xludf.DUMMYFUNCTION("""COMPUTED_VALUE"""),"IEEE/RSJ International Conference on Intelligent Robots and Systems")</f>
        <v>IEEE/RSJ International Conference on Intelligent Robots and Systems</v>
      </c>
      <c r="D3" s="119">
        <f>IFERROR(__xludf.DUMMYFUNCTION("""COMPUTED_VALUE"""),63.0)</f>
        <v>63</v>
      </c>
      <c r="E3" s="59" t="str">
        <f>IFERROR(__xludf.DUMMYFUNCTION("""COMPUTED_VALUE"""),"https://scholar.google.com/citations?hl=en&amp;view_op=list_hcore&amp;venue=QZ31s4XlF8EJ.2020")</f>
        <v>https://scholar.google.com/citations?hl=en&amp;view_op=list_hcore&amp;venue=QZ31s4XlF8EJ.2020</v>
      </c>
    </row>
    <row r="4">
      <c r="A4" s="58" t="str">
        <f>IFERROR(__xludf.DUMMYFUNCTION("""COMPUTED_VALUE"""),"Top 10")</f>
        <v>Top 10</v>
      </c>
      <c r="B4" s="118" t="str">
        <f>IFERROR(__xludf.DUMMYFUNCTION("""COMPUTED_VALUE"""),"RSS")</f>
        <v>RSS</v>
      </c>
      <c r="C4" s="118" t="str">
        <f>IFERROR(__xludf.DUMMYFUNCTION("""COMPUTED_VALUE"""),"Robotics: Science and Systems")</f>
        <v>Robotics: Science and Systems</v>
      </c>
      <c r="D4" s="119">
        <f>IFERROR(__xludf.DUMMYFUNCTION("""COMPUTED_VALUE"""),51.0)</f>
        <v>51</v>
      </c>
      <c r="E4" s="59" t="str">
        <f>IFERROR(__xludf.DUMMYFUNCTION("""COMPUTED_VALUE"""),"https://scholar.google.com/citations?hl=en&amp;view_op=list_hcore&amp;venue=jl5pTV5Sh0AJ.2020")</f>
        <v>https://scholar.google.com/citations?hl=en&amp;view_op=list_hcore&amp;venue=jl5pTV5Sh0AJ.2020</v>
      </c>
    </row>
    <row r="5">
      <c r="A5" s="58" t="str">
        <f>IFERROR(__xludf.DUMMYFUNCTION("""COMPUTED_VALUE"""),"Top 10")</f>
        <v>Top 10</v>
      </c>
      <c r="B5" s="118" t="str">
        <f>IFERROR(__xludf.DUMMYFUNCTION("""COMPUTED_VALUE"""),"HRI")</f>
        <v>HRI</v>
      </c>
      <c r="C5" s="118" t="str">
        <f>IFERROR(__xludf.DUMMYFUNCTION("""COMPUTED_VALUE"""),"ACM/IEEE International Conference on Human Robot Interaction")</f>
        <v>ACM/IEEE International Conference on Human Robot Interaction</v>
      </c>
      <c r="D5" s="119">
        <f>IFERROR(__xludf.DUMMYFUNCTION("""COMPUTED_VALUE"""),46.0)</f>
        <v>46</v>
      </c>
      <c r="E5" s="59" t="str">
        <f>IFERROR(__xludf.DUMMYFUNCTION("""COMPUTED_VALUE"""),"https://scholar.google.com/citations?hl=en&amp;view_op=list_hcore&amp;venue=D6qw-B7Hrk0J.2020")</f>
        <v>https://scholar.google.com/citations?hl=en&amp;view_op=list_hcore&amp;venue=D6qw-B7Hrk0J.2020</v>
      </c>
    </row>
    <row r="6">
      <c r="A6" s="58" t="str">
        <f>IFERROR(__xludf.DUMMYFUNCTION("""COMPUTED_VALUE"""),"Top 10")</f>
        <v>Top 10</v>
      </c>
      <c r="B6" s="118" t="str">
        <f>IFERROR(__xludf.DUMMYFUNCTION("""COMPUTED_VALUE"""),"CoRL")</f>
        <v>CoRL</v>
      </c>
      <c r="C6" s="118" t="str">
        <f>IFERROR(__xludf.DUMMYFUNCTION("""COMPUTED_VALUE"""),"Conference on Robot Learning")</f>
        <v>Conference on Robot Learning</v>
      </c>
      <c r="D6" s="119">
        <f>IFERROR(__xludf.DUMMYFUNCTION("""COMPUTED_VALUE"""),33.0)</f>
        <v>33</v>
      </c>
      <c r="E6" s="59" t="str">
        <f>IFERROR(__xludf.DUMMYFUNCTION("""COMPUTED_VALUE"""),"https://scholar.google.com/citations?hl=en&amp;view_op=list_hcore&amp;venue=kWi-GfxuXpEJ.2020")</f>
        <v>https://scholar.google.com/citations?hl=en&amp;view_op=list_hcore&amp;venue=kWi-GfxuXpEJ.2020</v>
      </c>
    </row>
    <row r="7">
      <c r="A7" s="58" t="str">
        <f>IFERROR(__xludf.DUMMYFUNCTION("""COMPUTED_VALUE"""),"Top 10")</f>
        <v>Top 10</v>
      </c>
      <c r="B7" s="118" t="str">
        <f>IFERROR(__xludf.DUMMYFUNCTION("""COMPUTED_VALUE"""),"Humanoids")</f>
        <v>Humanoids</v>
      </c>
      <c r="C7" s="118" t="str">
        <f>IFERROR(__xludf.DUMMYFUNCTION("""COMPUTED_VALUE"""),"IEEE RAS International Conference on Humanoid Robot")</f>
        <v>IEEE RAS International Conference on Humanoid Robot</v>
      </c>
      <c r="D7" s="119">
        <f>IFERROR(__xludf.DUMMYFUNCTION("""COMPUTED_VALUE"""),33.0)</f>
        <v>33</v>
      </c>
      <c r="E7" s="59" t="str">
        <f>IFERROR(__xludf.DUMMYFUNCTION("""COMPUTED_VALUE"""),"https://scholar.google.com/citations?hl=en&amp;view_op=list_hcore&amp;venue=cvOaqvRdsZQJ.2020")</f>
        <v>https://scholar.google.com/citations?hl=en&amp;view_op=list_hcore&amp;venue=cvOaqvRdsZQJ.2020</v>
      </c>
    </row>
    <row r="8">
      <c r="A8" s="58" t="str">
        <f>IFERROR(__xludf.DUMMYFUNCTION("""COMPUTED_VALUE"""),"Top 10")</f>
        <v>Top 10</v>
      </c>
      <c r="B8" s="118" t="str">
        <f>IFERROR(__xludf.DUMMYFUNCTION("""COMPUTED_VALUE"""),"ICUAS")</f>
        <v>ICUAS</v>
      </c>
      <c r="C8" s="118" t="str">
        <f>IFERROR(__xludf.DUMMYFUNCTION("""COMPUTED_VALUE"""),"International Conference on Unmanned Aircraft Systems")</f>
        <v>International Conference on Unmanned Aircraft Systems</v>
      </c>
      <c r="D8" s="119">
        <f>IFERROR(__xludf.DUMMYFUNCTION("""COMPUTED_VALUE"""),31.0)</f>
        <v>31</v>
      </c>
      <c r="E8" s="59" t="str">
        <f>IFERROR(__xludf.DUMMYFUNCTION("""COMPUTED_VALUE"""),"https://scholar.google.com/citations?hl=en&amp;view_op=list_hcore&amp;venue=P7JmirE2spgJ.2020")</f>
        <v>https://scholar.google.com/citations?hl=en&amp;view_op=list_hcore&amp;venue=P7JmirE2spgJ.2020</v>
      </c>
    </row>
    <row r="9">
      <c r="A9" s="58" t="str">
        <f>IFERROR(__xludf.DUMMYFUNCTION("""COMPUTED_VALUE"""),"Top 10")</f>
        <v>Top 10</v>
      </c>
      <c r="B9" s="118" t="str">
        <f>IFERROR(__xludf.DUMMYFUNCTION("""COMPUTED_VALUE"""),"RO-MAN")</f>
        <v>RO-MAN</v>
      </c>
      <c r="C9" s="118" t="str">
        <f>IFERROR(__xludf.DUMMYFUNCTION("""COMPUTED_VALUE"""),"IEEE International Symposium on Robot and Human Interactive Communication")</f>
        <v>IEEE International Symposium on Robot and Human Interactive Communication</v>
      </c>
      <c r="D9" s="119">
        <f>IFERROR(__xludf.DUMMYFUNCTION("""COMPUTED_VALUE"""),27.0)</f>
        <v>27</v>
      </c>
      <c r="E9" s="59" t="str">
        <f>IFERROR(__xludf.DUMMYFUNCTION("""COMPUTED_VALUE"""),"https://scholar.google.com/citations?hl=en&amp;view_op=list_hcore&amp;venue=yHxohuW00noJ.2020")</f>
        <v>https://scholar.google.com/citations?hl=en&amp;view_op=list_hcore&amp;venue=yHxohuW00noJ.2020</v>
      </c>
    </row>
    <row r="10">
      <c r="A10" s="58" t="str">
        <f>IFERROR(__xludf.DUMMYFUNCTION("""COMPUTED_VALUE"""),"Top 10")</f>
        <v>Top 10</v>
      </c>
      <c r="B10" s="118" t="str">
        <f>IFERROR(__xludf.DUMMYFUNCTION("""COMPUTED_VALUE"""),"CASE")</f>
        <v>CASE</v>
      </c>
      <c r="C10" s="118" t="str">
        <f>IFERROR(__xludf.DUMMYFUNCTION("""COMPUTED_VALUE"""),"IEEE Conference on Automation Science and Engineering")</f>
        <v>IEEE Conference on Automation Science and Engineering</v>
      </c>
      <c r="D10" s="119">
        <f>IFERROR(__xludf.DUMMYFUNCTION("""COMPUTED_VALUE"""),24.0)</f>
        <v>24</v>
      </c>
      <c r="E10" s="59" t="str">
        <f>IFERROR(__xludf.DUMMYFUNCTION("""COMPUTED_VALUE"""),"https://scholar.google.com/citations?hl=en&amp;view_op=list_hcore&amp;venue=iJOqTiZA0TgJ.2020")</f>
        <v>https://scholar.google.com/citations?hl=en&amp;view_op=list_hcore&amp;venue=iJOqTiZA0TgJ.2020</v>
      </c>
    </row>
    <row r="11">
      <c r="A11" s="58" t="str">
        <f>IFERROR(__xludf.DUMMYFUNCTION("""COMPUTED_VALUE"""),"Top 10")</f>
        <v>Top 10</v>
      </c>
      <c r="B11" s="118" t="str">
        <f>IFERROR(__xludf.DUMMYFUNCTION("""COMPUTED_VALUE"""),"ICAR*")</f>
        <v>ICAR*</v>
      </c>
      <c r="C11" s="118" t="str">
        <f>IFERROR(__xludf.DUMMYFUNCTION("""COMPUTED_VALUE"""),"International Conference on Advanced Robotics")</f>
        <v>International Conference on Advanced Robotics</v>
      </c>
      <c r="D11" s="119">
        <f>IFERROR(__xludf.DUMMYFUNCTION("""COMPUTED_VALUE"""),15.0)</f>
        <v>15</v>
      </c>
      <c r="E11" s="59" t="str">
        <f>IFERROR(__xludf.DUMMYFUNCTION("""COMPUTED_VALUE"""),"https://scholar.google.com/citations?hl=en&amp;view_op=list_hcore&amp;venue=QTCI2sX39qUJ.2020")</f>
        <v>https://scholar.google.com/citations?hl=en&amp;view_op=list_hcore&amp;venue=QTCI2sX39qUJ.2020</v>
      </c>
    </row>
    <row r="12">
      <c r="A12" s="58" t="str">
        <f>IFERROR(__xludf.DUMMYFUNCTION("""COMPUTED_VALUE"""),"Top 20")</f>
        <v>Top 20</v>
      </c>
      <c r="B12" s="118" t="str">
        <f>IFERROR(__xludf.DUMMYFUNCTION("""COMPUTED_VALUE"""),"ISRR*")</f>
        <v>ISRR*</v>
      </c>
      <c r="C12" s="118" t="str">
        <f>IFERROR(__xludf.DUMMYFUNCTION("""COMPUTED_VALUE"""),"International Symposium on Robotics Research")</f>
        <v>International Symposium on Robotics Research</v>
      </c>
      <c r="D12" s="119">
        <f>IFERROR(__xludf.DUMMYFUNCTION("""COMPUTED_VALUE"""),22.0)</f>
        <v>22</v>
      </c>
      <c r="E12" s="59" t="str">
        <f>IFERROR(__xludf.DUMMYFUNCTION("""COMPUTED_VALUE"""),"https://scholar.google.com/citations?hl=en&amp;view_op=list_hcore&amp;venue=eX0qXcAClWoJ.2020")</f>
        <v>https://scholar.google.com/citations?hl=en&amp;view_op=list_hcore&amp;venue=eX0qXcAClWoJ.2020</v>
      </c>
    </row>
    <row r="13">
      <c r="A13" s="65" t="str">
        <f>IFERROR(__xludf.DUMMYFUNCTION("""COMPUTED_VALUE"""),"Top 20")</f>
        <v>Top 20</v>
      </c>
      <c r="B13" s="118" t="str">
        <f>IFERROR(__xludf.DUMMYFUNCTION("""COMPUTED_VALUE"""),"ICORR*")</f>
        <v>ICORR*</v>
      </c>
      <c r="C13" s="118" t="str">
        <f>IFERROR(__xludf.DUMMYFUNCTION("""COMPUTED_VALUE"""),"IEEE International Conference on Rehabilitation Robotics")</f>
        <v>IEEE International Conference on Rehabilitation Robotics</v>
      </c>
      <c r="D13" s="119">
        <f>IFERROR(__xludf.DUMMYFUNCTION("""COMPUTED_VALUE"""),22.0)</f>
        <v>22</v>
      </c>
      <c r="E13" s="59" t="str">
        <f>IFERROR(__xludf.DUMMYFUNCTION("""COMPUTED_VALUE"""),"https://scholar.google.com/citations?hl=en&amp;view_op=list_hcore&amp;venue=w8zcF49hRv8J.2020")</f>
        <v>https://scholar.google.com/citations?hl=en&amp;view_op=list_hcore&amp;venue=w8zcF49hRv8J.2020</v>
      </c>
    </row>
    <row r="14">
      <c r="A14" s="65" t="str">
        <f>IFERROR(__xludf.DUMMYFUNCTION("""COMPUTED_VALUE"""),"Top 20")</f>
        <v>Top 20</v>
      </c>
      <c r="B14" s="118" t="str">
        <f>IFERROR(__xludf.DUMMYFUNCTION("""COMPUTED_VALUE"""),"ECMR*")</f>
        <v>ECMR*</v>
      </c>
      <c r="C14" s="118" t="str">
        <f>IFERROR(__xludf.DUMMYFUNCTION("""COMPUTED_VALUE"""),"European Conference on Mobile Robots")</f>
        <v>European Conference on Mobile Robots</v>
      </c>
      <c r="D14" s="119">
        <f>IFERROR(__xludf.DUMMYFUNCTION("""COMPUTED_VALUE"""),19.0)</f>
        <v>19</v>
      </c>
      <c r="E14" s="59" t="str">
        <f>IFERROR(__xludf.DUMMYFUNCTION("""COMPUTED_VALUE"""),"https://scholar.google.com/citations?hl=en&amp;view_op=list_hcore&amp;venue=E-Dt3HzExLsJ.2020")</f>
        <v>https://scholar.google.com/citations?hl=en&amp;view_op=list_hcore&amp;venue=E-Dt3HzExLsJ.2020</v>
      </c>
    </row>
    <row r="15">
      <c r="A15" s="65" t="str">
        <f>IFERROR(__xludf.DUMMYFUNCTION("""COMPUTED_VALUE"""),"Top 20")</f>
        <v>Top 20</v>
      </c>
      <c r="B15" s="118" t="str">
        <f>IFERROR(__xludf.DUMMYFUNCTION("""COMPUTED_VALUE"""),"SSRR")</f>
        <v>SSRR</v>
      </c>
      <c r="C15" s="118" t="str">
        <f>IFERROR(__xludf.DUMMYFUNCTION("""COMPUTED_VALUE"""),"International Symposium on Safety, Security and Rescue Robotics")</f>
        <v>International Symposium on Safety, Security and Rescue Robotics</v>
      </c>
      <c r="D15" s="119">
        <f>IFERROR(__xludf.DUMMYFUNCTION("""COMPUTED_VALUE"""),19.0)</f>
        <v>19</v>
      </c>
      <c r="E15" s="59" t="str">
        <f>IFERROR(__xludf.DUMMYFUNCTION("""COMPUTED_VALUE"""),"https://scholar.google.com/citations?hl=en&amp;view_op=list_hcore&amp;venue=in-bLtIuMBYJ.2020")</f>
        <v>https://scholar.google.com/citations?hl=en&amp;view_op=list_hcore&amp;venue=in-bLtIuMBYJ.2020</v>
      </c>
    </row>
    <row r="16">
      <c r="A16" s="65" t="str">
        <f>IFERROR(__xludf.DUMMYFUNCTION("""COMPUTED_VALUE"""),"Top 20")</f>
        <v>Top 20</v>
      </c>
      <c r="B16" s="118" t="str">
        <f>IFERROR(__xludf.DUMMYFUNCTION("""COMPUTED_VALUE"""),"ROBIO")</f>
        <v>ROBIO</v>
      </c>
      <c r="C16" s="118" t="str">
        <f>IFERROR(__xludf.DUMMYFUNCTION("""COMPUTED_VALUE"""),"IEEE International Conference on Robotics and Biomimetics")</f>
        <v>IEEE International Conference on Robotics and Biomimetics</v>
      </c>
      <c r="D16" s="119">
        <f>IFERROR(__xludf.DUMMYFUNCTION("""COMPUTED_VALUE"""),18.0)</f>
        <v>18</v>
      </c>
      <c r="E16" s="59" t="str">
        <f>IFERROR(__xludf.DUMMYFUNCTION("""COMPUTED_VALUE"""),"https://scholar.google.com/citations?hl=en&amp;view_op=list_hcore&amp;venue=bcF8fuNAeawJ.2020")</f>
        <v>https://scholar.google.com/citations?hl=en&amp;view_op=list_hcore&amp;venue=bcF8fuNAeawJ.2020</v>
      </c>
    </row>
    <row r="17">
      <c r="A17" s="65" t="str">
        <f>IFERROR(__xludf.DUMMYFUNCTION("""COMPUTED_VALUE"""),"Top 20")</f>
        <v>Top 20</v>
      </c>
      <c r="B17" s="118" t="str">
        <f>IFERROR(__xludf.DUMMYFUNCTION("""COMPUTED_VALUE"""),"BioRob*")</f>
        <v>BioRob*</v>
      </c>
      <c r="C17" s="118" t="str">
        <f>IFERROR(__xludf.DUMMYFUNCTION("""COMPUTED_VALUE"""),"IEEE RAS &amp; EMBS International Conference on Biomedical Robotics and Biomechatronics")</f>
        <v>IEEE RAS &amp; EMBS International Conference on Biomedical Robotics and Biomechatronics</v>
      </c>
      <c r="D17" s="119">
        <f>IFERROR(__xludf.DUMMYFUNCTION("""COMPUTED_VALUE"""),17.0)</f>
        <v>17</v>
      </c>
      <c r="E17" s="59" t="str">
        <f>IFERROR(__xludf.DUMMYFUNCTION("""COMPUTED_VALUE"""),"https://scholar.google.com/citations?hl=en&amp;view_op=list_hcore&amp;venue=mll7l7Q4NakJ.2020")</f>
        <v>https://scholar.google.com/citations?hl=en&amp;view_op=list_hcore&amp;venue=mll7l7Q4NakJ.2020</v>
      </c>
    </row>
    <row r="18">
      <c r="A18" s="65" t="str">
        <f>IFERROR(__xludf.DUMMYFUNCTION("""COMPUTED_VALUE"""),"Top 20")</f>
        <v>Top 20</v>
      </c>
      <c r="B18" s="118" t="str">
        <f>IFERROR(__xludf.DUMMYFUNCTION("""COMPUTED_VALUE"""),"WAFR*")</f>
        <v>WAFR*</v>
      </c>
      <c r="C18" s="118" t="str">
        <f>IFERROR(__xludf.DUMMYFUNCTION("""COMPUTED_VALUE"""),"Workshop on the Algorithmic Foundations of Robotics")</f>
        <v>Workshop on the Algorithmic Foundations of Robotics</v>
      </c>
      <c r="D18" s="119">
        <f>IFERROR(__xludf.DUMMYFUNCTION("""COMPUTED_VALUE"""),16.0)</f>
        <v>16</v>
      </c>
      <c r="E18" s="59" t="str">
        <f>IFERROR(__xludf.DUMMYFUNCTION("""COMPUTED_VALUE"""),"https://scholar.google.com/citations?hl=en&amp;view_op=list_hcore&amp;venue=k40T75326PgJ.2020")</f>
        <v>https://scholar.google.com/citations?hl=en&amp;view_op=list_hcore&amp;venue=k40T75326PgJ.2020</v>
      </c>
    </row>
    <row r="19">
      <c r="A19" s="65" t="str">
        <f>IFERROR(__xludf.DUMMYFUNCTION("""COMPUTED_VALUE"""),"Top 20")</f>
        <v>Top 20</v>
      </c>
      <c r="B19" s="118" t="str">
        <f>IFERROR(__xludf.DUMMYFUNCTION("""COMPUTED_VALUE"""),"ROBOCUP")</f>
        <v>ROBOCUP</v>
      </c>
      <c r="C19" s="118" t="str">
        <f>IFERROR(__xludf.DUMMYFUNCTION("""COMPUTED_VALUE"""),"RoboCup - Robocup International Symposium")</f>
        <v>RoboCup - Robocup International Symposium</v>
      </c>
      <c r="D19" s="119">
        <f>IFERROR(__xludf.DUMMYFUNCTION("""COMPUTED_VALUE"""),15.0)</f>
        <v>15</v>
      </c>
      <c r="E19" s="59" t="str">
        <f>IFERROR(__xludf.DUMMYFUNCTION("""COMPUTED_VALUE"""),"https://scholar.google.com/citations?hl=en&amp;view_op=list_hcore&amp;venue=KMzWyzFUAoQJ.2020")</f>
        <v>https://scholar.google.com/citations?hl=en&amp;view_op=list_hcore&amp;venue=KMzWyzFUAoQJ.2020</v>
      </c>
    </row>
    <row r="20">
      <c r="A20" s="65" t="str">
        <f>IFERROR(__xludf.DUMMYFUNCTION("""COMPUTED_VALUE"""),"Top 20")</f>
        <v>Top 20</v>
      </c>
      <c r="B20" s="118" t="str">
        <f>IFERROR(__xludf.DUMMYFUNCTION("""COMPUTED_VALUE"""),"ISER*")</f>
        <v>ISER*</v>
      </c>
      <c r="C20" s="118" t="str">
        <f>IFERROR(__xludf.DUMMYFUNCTION("""COMPUTED_VALUE"""),"International Symposium on Experimental Robotics")</f>
        <v>International Symposium on Experimental Robotics</v>
      </c>
      <c r="D20" s="119">
        <f>IFERROR(__xludf.DUMMYFUNCTION("""COMPUTED_VALUE"""),14.0)</f>
        <v>14</v>
      </c>
      <c r="E20" s="59" t="str">
        <f>IFERROR(__xludf.DUMMYFUNCTION("""COMPUTED_VALUE"""),"https://scholar.google.com/citations?hl=en&amp;view_op=list_hcore&amp;venue=ke1g66ZJCWoJ.2020")</f>
        <v>https://scholar.google.com/citations?hl=en&amp;view_op=list_hcore&amp;venue=ke1g66ZJCWoJ.2020</v>
      </c>
    </row>
    <row r="21">
      <c r="A21" s="65" t="str">
        <f>IFERROR(__xludf.DUMMYFUNCTION("""COMPUTED_VALUE"""),"Top 20")</f>
        <v>Top 20</v>
      </c>
      <c r="B21" s="118" t="str">
        <f>IFERROR(__xludf.DUMMYFUNCTION("""COMPUTED_VALUE"""),"SBR/LARS")</f>
        <v>SBR/LARS</v>
      </c>
      <c r="C21" s="118" t="str">
        <f>IFERROR(__xludf.DUMMYFUNCTION("""COMPUTED_VALUE"""),"Latin American Robotics Symposium")</f>
        <v>Latin American Robotics Symposium</v>
      </c>
      <c r="D21" s="119">
        <f>IFERROR(__xludf.DUMMYFUNCTION("""COMPUTED_VALUE"""),11.0)</f>
        <v>11</v>
      </c>
      <c r="E21" s="59" t="str">
        <f>IFERROR(__xludf.DUMMYFUNCTION("""COMPUTED_VALUE"""),"https://scholar.google.com/citations?hl=en&amp;view_op=list_hcore&amp;venue=JUcVqGhEKJsJ.2020")</f>
        <v>https://scholar.google.com/citations?hl=en&amp;view_op=list_hcore&amp;venue=JUcVqGhEKJsJ.2020</v>
      </c>
    </row>
    <row r="22">
      <c r="A22" s="65" t="str">
        <f>IFERROR(__xludf.DUMMYFUNCTION("""COMPUTED_VALUE"""),"Eventos da Área")</f>
        <v>Eventos da Área</v>
      </c>
      <c r="B22" s="118" t="str">
        <f>IFERROR(__xludf.DUMMYFUNCTION("""COMPUTED_VALUE"""),"ACC")</f>
        <v>ACC</v>
      </c>
      <c r="C22" s="118" t="str">
        <f>IFERROR(__xludf.DUMMYFUNCTION("""COMPUTED_VALUE"""),"American Control Conference")</f>
        <v>American Control Conference</v>
      </c>
      <c r="D22" s="119">
        <f>IFERROR(__xludf.DUMMYFUNCTION("""COMPUTED_VALUE"""),41.0)</f>
        <v>41</v>
      </c>
      <c r="E22" s="59" t="str">
        <f>IFERROR(__xludf.DUMMYFUNCTION("""COMPUTED_VALUE"""),"https://scholar.google.com/citations?hl=en&amp;view_op=list_hcore&amp;venue=tgZe9odv5lUJ.2020")</f>
        <v>https://scholar.google.com/citations?hl=en&amp;view_op=list_hcore&amp;venue=tgZe9odv5lUJ.2020</v>
      </c>
    </row>
    <row r="23">
      <c r="A23" s="68" t="str">
        <f>IFERROR(__xludf.DUMMYFUNCTION("""COMPUTED_VALUE"""),"Eventos da Área")</f>
        <v>Eventos da Área</v>
      </c>
      <c r="B23" s="118" t="str">
        <f>IFERROR(__xludf.DUMMYFUNCTION("""COMPUTED_VALUE"""),"CDC")</f>
        <v>CDC</v>
      </c>
      <c r="C23" s="118" t="str">
        <f>IFERROR(__xludf.DUMMYFUNCTION("""COMPUTED_VALUE"""),"IEEE Conference on Decision and Control")</f>
        <v>IEEE Conference on Decision and Control</v>
      </c>
      <c r="D23" s="119">
        <f>IFERROR(__xludf.DUMMYFUNCTION("""COMPUTED_VALUE"""),40.0)</f>
        <v>40</v>
      </c>
      <c r="E23" s="59" t="str">
        <f>IFERROR(__xludf.DUMMYFUNCTION("""COMPUTED_VALUE"""),"https://scholar.google.com/citations?hl=en&amp;view_op=list_hcore&amp;venue=1dJxuEkKfpEJ.2020")</f>
        <v>https://scholar.google.com/citations?hl=en&amp;view_op=list_hcore&amp;venue=1dJxuEkKfpEJ.2020</v>
      </c>
    </row>
    <row r="24">
      <c r="A24" s="68" t="str">
        <f>IFERROR(__xludf.DUMMYFUNCTION("""COMPUTED_VALUE"""),"Eventos da Área")</f>
        <v>Eventos da Área</v>
      </c>
      <c r="B24" s="118" t="str">
        <f>IFERROR(__xludf.DUMMYFUNCTION("""COMPUTED_VALUE"""),"ETFA")</f>
        <v>ETFA</v>
      </c>
      <c r="C24" s="118" t="str">
        <f>IFERROR(__xludf.DUMMYFUNCTION("""COMPUTED_VALUE"""),"IEEE International Conference on Emerging Technologies and Factory Automation")</f>
        <v>IEEE International Conference on Emerging Technologies and Factory Automation</v>
      </c>
      <c r="D24" s="119">
        <f>IFERROR(__xludf.DUMMYFUNCTION("""COMPUTED_VALUE"""),28.0)</f>
        <v>28</v>
      </c>
      <c r="E24" s="59" t="str">
        <f>IFERROR(__xludf.DUMMYFUNCTION("""COMPUTED_VALUE"""),"https://scholar.google.com/citations?hl=en&amp;view_op=list_hcore&amp;venue=oGDa9y0RKw8J.2020")</f>
        <v>https://scholar.google.com/citations?hl=en&amp;view_op=list_hcore&amp;venue=oGDa9y0RKw8J.2020</v>
      </c>
    </row>
    <row r="25">
      <c r="A25" s="68" t="str">
        <f>IFERROR(__xludf.DUMMYFUNCTION("""COMPUTED_VALUE"""),"Eventos da Área")</f>
        <v>Eventos da Área</v>
      </c>
      <c r="B25" s="118" t="str">
        <f>IFERROR(__xludf.DUMMYFUNCTION("""COMPUTED_VALUE"""),"ECC")</f>
        <v>ECC</v>
      </c>
      <c r="C25" s="118" t="str">
        <f>IFERROR(__xludf.DUMMYFUNCTION("""COMPUTED_VALUE"""),"European Control Conference")</f>
        <v>European Control Conference</v>
      </c>
      <c r="D25" s="119">
        <f>IFERROR(__xludf.DUMMYFUNCTION("""COMPUTED_VALUE"""),27.0)</f>
        <v>27</v>
      </c>
      <c r="E25" s="59" t="str">
        <f>IFERROR(__xludf.DUMMYFUNCTION("""COMPUTED_VALUE"""),"https://scholar.google.com/citations?hl=en&amp;view_op=list_hcore&amp;venue=uyMX5yvvkyoJ.2020")</f>
        <v>https://scholar.google.com/citations?hl=en&amp;view_op=list_hcore&amp;venue=uyMX5yvvkyoJ.2020</v>
      </c>
    </row>
    <row r="26">
      <c r="A26" s="68" t="str">
        <f>IFERROR(__xludf.DUMMYFUNCTION("""COMPUTED_VALUE"""),"Eventos da Área")</f>
        <v>Eventos da Área</v>
      </c>
      <c r="B26" s="118" t="str">
        <f>IFERROR(__xludf.DUMMYFUNCTION("""COMPUTED_VALUE"""),"IECON")</f>
        <v>IECON</v>
      </c>
      <c r="C26" s="118" t="str">
        <f>IFERROR(__xludf.DUMMYFUNCTION("""COMPUTED_VALUE"""),"Annual Conference of the IEEE Industrial Electronics Society")</f>
        <v>Annual Conference of the IEEE Industrial Electronics Society</v>
      </c>
      <c r="D26" s="119">
        <f>IFERROR(__xludf.DUMMYFUNCTION("""COMPUTED_VALUE"""),26.0)</f>
        <v>26</v>
      </c>
      <c r="E26" s="59" t="str">
        <f>IFERROR(__xludf.DUMMYFUNCTION("""COMPUTED_VALUE"""),"https://scholar.google.com/citations?hl=en&amp;view_op=list_hcore&amp;venue=j7dS7aP2eTEJ.2020")</f>
        <v>https://scholar.google.com/citations?hl=en&amp;view_op=list_hcore&amp;venue=j7dS7aP2eTEJ.2020</v>
      </c>
    </row>
    <row r="27">
      <c r="A27" s="68" t="str">
        <f>IFERROR(__xludf.DUMMYFUNCTION("""COMPUTED_VALUE"""),"Eventos da Área")</f>
        <v>Eventos da Área</v>
      </c>
      <c r="B27" s="118" t="str">
        <f>IFERROR(__xludf.DUMMYFUNCTION("""COMPUTED_VALUE"""),"FUSION")</f>
        <v>FUSION</v>
      </c>
      <c r="C27" s="118" t="str">
        <f>IFERROR(__xludf.DUMMYFUNCTION("""COMPUTED_VALUE"""),"International Conference on Information Fusion")</f>
        <v>International Conference on Information Fusion</v>
      </c>
      <c r="D27" s="119">
        <f>IFERROR(__xludf.DUMMYFUNCTION("""COMPUTED_VALUE"""),25.0)</f>
        <v>25</v>
      </c>
      <c r="E27" s="59" t="str">
        <f>IFERROR(__xludf.DUMMYFUNCTION("""COMPUTED_VALUE"""),"https://scholar.google.com/citations?hl=en&amp;view_op=list_hcore&amp;venue=eAoE06EVARcJ.2020")</f>
        <v>https://scholar.google.com/citations?hl=en&amp;view_op=list_hcore&amp;venue=eAoE06EVARcJ.2020</v>
      </c>
    </row>
    <row r="28">
      <c r="A28" s="68" t="str">
        <f>IFERROR(__xludf.DUMMYFUNCTION("""COMPUTED_VALUE"""),"Eventos da Área")</f>
        <v>Eventos da Área</v>
      </c>
      <c r="B28" s="118" t="str">
        <f>IFERROR(__xludf.DUMMYFUNCTION("""COMPUTED_VALUE"""),"INDIN")</f>
        <v>INDIN</v>
      </c>
      <c r="C28" s="118" t="str">
        <f>IFERROR(__xludf.DUMMYFUNCTION("""COMPUTED_VALUE"""),"IEEE International Conference on Industrial Informatics")</f>
        <v>IEEE International Conference on Industrial Informatics</v>
      </c>
      <c r="D28" s="119">
        <f>IFERROR(__xludf.DUMMYFUNCTION("""COMPUTED_VALUE"""),22.0)</f>
        <v>22</v>
      </c>
      <c r="E28" s="59" t="str">
        <f>IFERROR(__xludf.DUMMYFUNCTION("""COMPUTED_VALUE"""),"https://scholar.google.com/citations?hl=en&amp;view_op=list_hcore&amp;venue=IRnEg4i2mP4J.2020")</f>
        <v>https://scholar.google.com/citations?hl=en&amp;view_op=list_hcore&amp;venue=IRnEg4i2mP4J.2020</v>
      </c>
    </row>
    <row r="29">
      <c r="A29" s="68" t="str">
        <f>IFERROR(__xludf.DUMMYFUNCTION("""COMPUTED_VALUE"""),"Eventos da Área")</f>
        <v>Eventos da Área</v>
      </c>
      <c r="B29" s="118" t="str">
        <f>IFERROR(__xludf.DUMMYFUNCTION("""COMPUTED_VALUE"""),"ISIE")</f>
        <v>ISIE</v>
      </c>
      <c r="C29" s="118" t="str">
        <f>IFERROR(__xludf.DUMMYFUNCTION("""COMPUTED_VALUE"""),"IEEE International Symposium on Industrial Electronics")</f>
        <v>IEEE International Symposium on Industrial Electronics</v>
      </c>
      <c r="D29" s="119">
        <f>IFERROR(__xludf.DUMMYFUNCTION("""COMPUTED_VALUE"""),19.0)</f>
        <v>19</v>
      </c>
      <c r="E29" s="59" t="str">
        <f>IFERROR(__xludf.DUMMYFUNCTION("""COMPUTED_VALUE"""),"https://scholar.google.com/citations?hl=en&amp;view_op=list_hcore&amp;venue=nvZjR0BHub4J.2020")</f>
        <v>https://scholar.google.com/citations?hl=en&amp;view_op=list_hcore&amp;venue=nvZjR0BHub4J.2020</v>
      </c>
    </row>
    <row r="30">
      <c r="A30" s="68" t="str">
        <f>IFERROR(__xludf.DUMMYFUNCTION("""COMPUTED_VALUE"""),"Eventos da Área")</f>
        <v>Eventos da Área</v>
      </c>
      <c r="B30" s="118" t="str">
        <f>IFERROR(__xludf.DUMMYFUNCTION("""COMPUTED_VALUE"""),"MED")</f>
        <v>MED</v>
      </c>
      <c r="C30" s="118" t="str">
        <f>IFERROR(__xludf.DUMMYFUNCTION("""COMPUTED_VALUE"""),"Mediterranean Conference on Control and Automation")</f>
        <v>Mediterranean Conference on Control and Automation</v>
      </c>
      <c r="D30" s="119">
        <f>IFERROR(__xludf.DUMMYFUNCTION("""COMPUTED_VALUE"""),19.0)</f>
        <v>19</v>
      </c>
      <c r="E30" s="59" t="str">
        <f>IFERROR(__xludf.DUMMYFUNCTION("""COMPUTED_VALUE"""),"https://scholar.google.com/citations?hl=en&amp;view_op=list_hcore&amp;venue=GCpVsRNBp7cJ.2020")</f>
        <v>https://scholar.google.com/citations?hl=en&amp;view_op=list_hcore&amp;venue=GCpVsRNBp7cJ.2020</v>
      </c>
    </row>
    <row r="31">
      <c r="A31" s="68" t="str">
        <f>IFERROR(__xludf.DUMMYFUNCTION("""COMPUTED_VALUE"""),"Eventos da Área")</f>
        <v>Eventos da Área</v>
      </c>
      <c r="B31" s="118" t="str">
        <f>IFERROR(__xludf.DUMMYFUNCTION("""COMPUTED_VALUE"""),"MVA*")</f>
        <v>MVA*</v>
      </c>
      <c r="C31" s="118" t="str">
        <f>IFERROR(__xludf.DUMMYFUNCTION("""COMPUTED_VALUE"""),"International Conference on Machine Vision Applications")</f>
        <v>International Conference on Machine Vision Applications</v>
      </c>
      <c r="D31" s="119">
        <f>IFERROR(__xludf.DUMMYFUNCTION("""COMPUTED_VALUE"""),19.0)</f>
        <v>19</v>
      </c>
      <c r="E31" s="59" t="str">
        <f>IFERROR(__xludf.DUMMYFUNCTION("""COMPUTED_VALUE"""),"https://scholar.google.com/citations?hl=en&amp;view_op=list_hcore&amp;venue=5GsHps3NV78J.2020")</f>
        <v>https://scholar.google.com/citations?hl=en&amp;view_op=list_hcore&amp;venue=5GsHps3NV78J.2020</v>
      </c>
    </row>
    <row r="32">
      <c r="A32" s="68" t="str">
        <f>IFERROR(__xludf.DUMMYFUNCTION("""COMPUTED_VALUE"""),"Eventos da Área")</f>
        <v>Eventos da Área</v>
      </c>
      <c r="B32" s="118" t="str">
        <f>IFERROR(__xludf.DUMMYFUNCTION("""COMPUTED_VALUE"""),"ICMA")</f>
        <v>ICMA</v>
      </c>
      <c r="C32" s="118" t="str">
        <f>IFERROR(__xludf.DUMMYFUNCTION("""COMPUTED_VALUE"""),"IEEE International Conference on Mechatronics and Automation")</f>
        <v>IEEE International Conference on Mechatronics and Automation</v>
      </c>
      <c r="D32" s="119">
        <f>IFERROR(__xludf.DUMMYFUNCTION("""COMPUTED_VALUE"""),17.0)</f>
        <v>17</v>
      </c>
      <c r="E32" s="59" t="str">
        <f>IFERROR(__xludf.DUMMYFUNCTION("""COMPUTED_VALUE"""),"https://scholar.google.com/citations?hl=en&amp;view_op=list_hcore&amp;venue=jeVF5tN0JH4J.2020")</f>
        <v>https://scholar.google.com/citations?hl=en&amp;view_op=list_hcore&amp;venue=jeVF5tN0JH4J.2020</v>
      </c>
    </row>
    <row r="33">
      <c r="A33" s="68" t="str">
        <f>IFERROR(__xludf.DUMMYFUNCTION("""COMPUTED_VALUE"""),"Eventos da Área")</f>
        <v>Eventos da Área</v>
      </c>
      <c r="B33" s="118" t="str">
        <f>IFERROR(__xludf.DUMMYFUNCTION("""COMPUTED_VALUE"""),"AIM")</f>
        <v>AIM</v>
      </c>
      <c r="C33" s="118" t="str">
        <f>IFERROR(__xludf.DUMMYFUNCTION("""COMPUTED_VALUE"""),"IEEE/ASME International Conference on Advanced Intelligent Mechatronics")</f>
        <v>IEEE/ASME International Conference on Advanced Intelligent Mechatronics</v>
      </c>
      <c r="D33" s="119">
        <f>IFERROR(__xludf.DUMMYFUNCTION("""COMPUTED_VALUE"""),17.0)</f>
        <v>17</v>
      </c>
      <c r="E33" s="59" t="str">
        <f>IFERROR(__xludf.DUMMYFUNCTION("""COMPUTED_VALUE"""),"https://scholar.google.com/citations?hl=en&amp;view_op=list_hcore&amp;venue=vvYv-MYYfD0J.2020")</f>
        <v>https://scholar.google.com/citations?hl=en&amp;view_op=list_hcore&amp;venue=vvYv-MYYfD0J.2020</v>
      </c>
    </row>
    <row r="34">
      <c r="A34" s="68" t="str">
        <f>IFERROR(__xludf.DUMMYFUNCTION("""COMPUTED_VALUE"""),"Eventos da Área")</f>
        <v>Eventos da Área</v>
      </c>
      <c r="B34" s="118" t="str">
        <f>IFERROR(__xludf.DUMMYFUNCTION("""COMPUTED_VALUE"""),"MMAR")</f>
        <v>MMAR</v>
      </c>
      <c r="C34" s="118" t="str">
        <f>IFERROR(__xludf.DUMMYFUNCTION("""COMPUTED_VALUE"""),"International Conference on Methods and Models in Automation and Robotics")</f>
        <v>International Conference on Methods and Models in Automation and Robotics</v>
      </c>
      <c r="D34" s="119">
        <f>IFERROR(__xludf.DUMMYFUNCTION("""COMPUTED_VALUE"""),16.0)</f>
        <v>16</v>
      </c>
      <c r="E34" s="59" t="str">
        <f>IFERROR(__xludf.DUMMYFUNCTION("""COMPUTED_VALUE"""),"https://scholar.google.com/citations?hl=en&amp;view_op=list_hcore&amp;venue=YI-90EccamMJ.2020")</f>
        <v>https://scholar.google.com/citations?hl=en&amp;view_op=list_hcore&amp;venue=YI-90EccamMJ.2020</v>
      </c>
    </row>
    <row r="35">
      <c r="A35" s="68" t="str">
        <f>IFERROR(__xludf.DUMMYFUNCTION("""COMPUTED_VALUE"""),"Eventos da Área")</f>
        <v>Eventos da Área</v>
      </c>
      <c r="B35" s="118" t="str">
        <f>IFERROR(__xludf.DUMMYFUNCTION("""COMPUTED_VALUE"""),"ICARSC")</f>
        <v>ICARSC</v>
      </c>
      <c r="C35" s="118" t="str">
        <f>IFERROR(__xludf.DUMMYFUNCTION("""COMPUTED_VALUE"""),"IEEE International Conference on Autonomous Robot Systems and Competitions")</f>
        <v>IEEE International Conference on Autonomous Robot Systems and Competitions</v>
      </c>
      <c r="D35" s="119">
        <f>IFERROR(__xludf.DUMMYFUNCTION("""COMPUTED_VALUE"""),15.0)</f>
        <v>15</v>
      </c>
      <c r="E35" s="59" t="str">
        <f>IFERROR(__xludf.DUMMYFUNCTION("""COMPUTED_VALUE"""),"https://scholar.google.com/citations?hl=en&amp;view_op=list_hcore&amp;venue=heT8SiJEaWsJ.2020")</f>
        <v>https://scholar.google.com/citations?hl=en&amp;view_op=list_hcore&amp;venue=heT8SiJEaWsJ.2020</v>
      </c>
    </row>
    <row r="36">
      <c r="A36" s="68" t="str">
        <f>IFERROR(__xludf.DUMMYFUNCTION("""COMPUTED_VALUE"""),"Eventos da Área")</f>
        <v>Eventos da Área</v>
      </c>
      <c r="B36" s="118" t="str">
        <f>IFERROR(__xludf.DUMMYFUNCTION("""COMPUTED_VALUE"""),"CRV")</f>
        <v>CRV</v>
      </c>
      <c r="C36" s="118" t="str">
        <f>IFERROR(__xludf.DUMMYFUNCTION("""COMPUTED_VALUE"""),"Canadian Conference on Computer and Robot Vision")</f>
        <v>Canadian Conference on Computer and Robot Vision</v>
      </c>
      <c r="D36" s="119">
        <f>IFERROR(__xludf.DUMMYFUNCTION("""COMPUTED_VALUE"""),15.0)</f>
        <v>15</v>
      </c>
      <c r="E36" s="59" t="str">
        <f>IFERROR(__xludf.DUMMYFUNCTION("""COMPUTED_VALUE"""),"https://scholar.google.com/citations?hl=en&amp;view_op=list_hcore&amp;venue=F-LopY4ucWMJ.2020")</f>
        <v>https://scholar.google.com/citations?hl=en&amp;view_op=list_hcore&amp;venue=F-LopY4ucWMJ.2020</v>
      </c>
    </row>
    <row r="37">
      <c r="A37" s="68" t="str">
        <f>IFERROR(__xludf.DUMMYFUNCTION("""COMPUTED_VALUE"""),"Eventos da Área")</f>
        <v>Eventos da Área</v>
      </c>
      <c r="B37" s="118" t="str">
        <f>IFERROR(__xludf.DUMMYFUNCTION("""COMPUTED_VALUE"""),"HAPTICS*")</f>
        <v>HAPTICS*</v>
      </c>
      <c r="C37" s="118" t="str">
        <f>IFERROR(__xludf.DUMMYFUNCTION("""COMPUTED_VALUE"""),"IEEE Haptics Symposium ")</f>
        <v>IEEE Haptics Symposium </v>
      </c>
      <c r="D37" s="119">
        <f>IFERROR(__xludf.DUMMYFUNCTION("""COMPUTED_VALUE"""),14.0)</f>
        <v>14</v>
      </c>
      <c r="E37" s="59" t="str">
        <f>IFERROR(__xludf.DUMMYFUNCTION("""COMPUTED_VALUE"""),"https://scholar.google.com/citations?hl=en&amp;view_op=list_hcore&amp;venue=OgfFzjmc8_gJ.2020")</f>
        <v>https://scholar.google.com/citations?hl=en&amp;view_op=list_hcore&amp;venue=OgfFzjmc8_gJ.2020</v>
      </c>
    </row>
    <row r="38">
      <c r="A38" s="68" t="str">
        <f>IFERROR(__xludf.DUMMYFUNCTION("""COMPUTED_VALUE"""),"Eventos da Área")</f>
        <v>Eventos da Área</v>
      </c>
      <c r="B38" s="118" t="str">
        <f>IFERROR(__xludf.DUMMYFUNCTION("""COMPUTED_VALUE"""),"ICINCO")</f>
        <v>ICINCO</v>
      </c>
      <c r="C38" s="118" t="str">
        <f>IFERROR(__xludf.DUMMYFUNCTION("""COMPUTED_VALUE"""),"International Conference on Informatics in Control, Automation and Robotics")</f>
        <v>International Conference on Informatics in Control, Automation and Robotics</v>
      </c>
      <c r="D38" s="119">
        <f>IFERROR(__xludf.DUMMYFUNCTION("""COMPUTED_VALUE"""),14.0)</f>
        <v>14</v>
      </c>
      <c r="E38" s="59" t="str">
        <f>IFERROR(__xludf.DUMMYFUNCTION("""COMPUTED_VALUE"""),"https://scholar.google.com/citations?hl=en&amp;view_op=list_hcore&amp;venue=hedKTD2-CbAJ.2020")</f>
        <v>https://scholar.google.com/citations?hl=en&amp;view_op=list_hcore&amp;venue=hedKTD2-CbAJ.2020</v>
      </c>
    </row>
    <row r="39">
      <c r="A39" s="68" t="str">
        <f>IFERROR(__xludf.DUMMYFUNCTION("""COMPUTED_VALUE"""),"Eventos da Área")</f>
        <v>Eventos da Área</v>
      </c>
      <c r="B39" s="118" t="str">
        <f>IFERROR(__xludf.DUMMYFUNCTION("""COMPUTED_VALUE"""),"ICCAR")</f>
        <v>ICCAR</v>
      </c>
      <c r="C39" s="118" t="str">
        <f>IFERROR(__xludf.DUMMYFUNCTION("""COMPUTED_VALUE"""),"International Conference on Control, Automation and Robotics")</f>
        <v>International Conference on Control, Automation and Robotics</v>
      </c>
      <c r="D39" s="119">
        <f>IFERROR(__xludf.DUMMYFUNCTION("""COMPUTED_VALUE"""),14.0)</f>
        <v>14</v>
      </c>
      <c r="E39" s="59" t="str">
        <f>IFERROR(__xludf.DUMMYFUNCTION("""COMPUTED_VALUE"""),"https://scholar.google.com/citations?hl=en&amp;view_op=list_hcore&amp;venue=VHOTIHOcvjcJ.2020")</f>
        <v>https://scholar.google.com/citations?hl=en&amp;view_op=list_hcore&amp;venue=VHOTIHOcvjcJ.2020</v>
      </c>
    </row>
    <row r="40">
      <c r="A40" s="68" t="str">
        <f>IFERROR(__xludf.DUMMYFUNCTION("""COMPUTED_VALUE"""),"Eventos da Área")</f>
        <v>Eventos da Área</v>
      </c>
      <c r="B40" s="118" t="str">
        <f>IFERROR(__xludf.DUMMYFUNCTION("""COMPUTED_VALUE"""),"ICIRA")</f>
        <v>ICIRA</v>
      </c>
      <c r="C40" s="118" t="str">
        <f>IFERROR(__xludf.DUMMYFUNCTION("""COMPUTED_VALUE"""),"International Conference on Intelligent Robotics and Applications")</f>
        <v>International Conference on Intelligent Robotics and Applications</v>
      </c>
      <c r="D40" s="119">
        <f>IFERROR(__xludf.DUMMYFUNCTION("""COMPUTED_VALUE"""),14.0)</f>
        <v>14</v>
      </c>
      <c r="E40" s="59" t="str">
        <f>IFERROR(__xludf.DUMMYFUNCTION("""COMPUTED_VALUE"""),"https://scholar.google.com/citations?hl=en&amp;view_op=list_hcore&amp;venue=zwftP5XWkKIJ.2020")</f>
        <v>https://scholar.google.com/citations?hl=en&amp;view_op=list_hcore&amp;venue=zwftP5XWkKIJ.2020</v>
      </c>
    </row>
    <row r="41">
      <c r="A41" s="68" t="str">
        <f>IFERROR(__xludf.DUMMYFUNCTION("""COMPUTED_VALUE"""),"Eventos da Área")</f>
        <v>Eventos da Área</v>
      </c>
      <c r="B41" s="118" t="str">
        <f>IFERROR(__xludf.DUMMYFUNCTION("""COMPUTED_VALUE"""),"ICARA*")</f>
        <v>ICARA*</v>
      </c>
      <c r="C41" s="118" t="str">
        <f>IFERROR(__xludf.DUMMYFUNCTION("""COMPUTED_VALUE"""),"International Conference on Automation, Robotics and Applications")</f>
        <v>International Conference on Automation, Robotics and Applications</v>
      </c>
      <c r="D41" s="119">
        <f>IFERROR(__xludf.DUMMYFUNCTION("""COMPUTED_VALUE"""),14.0)</f>
        <v>14</v>
      </c>
      <c r="E41" s="59" t="str">
        <f>IFERROR(__xludf.DUMMYFUNCTION("""COMPUTED_VALUE"""),"https://scholar.google.com/citations?hl=en&amp;view_op=list_hcore&amp;venue=Pbr-U05RvUoJ.2020")</f>
        <v>https://scholar.google.com/citations?hl=en&amp;view_op=list_hcore&amp;venue=Pbr-U05RvUoJ.2020</v>
      </c>
    </row>
    <row r="42">
      <c r="A42" s="68" t="str">
        <f>IFERROR(__xludf.DUMMYFUNCTION("""COMPUTED_VALUE"""),"Eventos da Área")</f>
        <v>Eventos da Área</v>
      </c>
      <c r="B42" s="118" t="str">
        <f>IFERROR(__xludf.DUMMYFUNCTION("""COMPUTED_VALUE"""),"ICARCV")</f>
        <v>ICARCV</v>
      </c>
      <c r="C42" s="118" t="str">
        <f>IFERROR(__xludf.DUMMYFUNCTION("""COMPUTED_VALUE"""),"International Conference on Control, Automation, Robotics and Vision")</f>
        <v>International Conference on Control, Automation, Robotics and Vision</v>
      </c>
      <c r="D42" s="119">
        <f>IFERROR(__xludf.DUMMYFUNCTION("""COMPUTED_VALUE"""),13.0)</f>
        <v>13</v>
      </c>
      <c r="E42" s="59" t="str">
        <f>IFERROR(__xludf.DUMMYFUNCTION("""COMPUTED_VALUE"""),"https://scholar.google.com/citations?hl=en&amp;view_op=list_hcore&amp;venue=b6kmtyBpsCcJ.2020")</f>
        <v>https://scholar.google.com/citations?hl=en&amp;view_op=list_hcore&amp;venue=b6kmtyBpsCcJ.2020</v>
      </c>
    </row>
    <row r="43">
      <c r="A43" s="68" t="str">
        <f>IFERROR(__xludf.DUMMYFUNCTION("""COMPUTED_VALUE"""),"Eventos da Área")</f>
        <v>Eventos da Área</v>
      </c>
      <c r="B43" s="118" t="str">
        <f>IFERROR(__xludf.DUMMYFUNCTION("""COMPUTED_VALUE"""),"MFI*")</f>
        <v>MFI*</v>
      </c>
      <c r="C43" s="118" t="str">
        <f>IFERROR(__xludf.DUMMYFUNCTION("""COMPUTED_VALUE"""),"IEEE International Conference on Multisensor Fusion and Integration for Intelligent Systems")</f>
        <v>IEEE International Conference on Multisensor Fusion and Integration for Intelligent Systems</v>
      </c>
      <c r="D43" s="119">
        <f>IFERROR(__xludf.DUMMYFUNCTION("""COMPUTED_VALUE"""),13.0)</f>
        <v>13</v>
      </c>
      <c r="E43" s="59" t="str">
        <f>IFERROR(__xludf.DUMMYFUNCTION("""COMPUTED_VALUE"""),"https://scholar.google.com/citations?hl=en&amp;view_op=list_hcore&amp;venue=MbouORldYUUJ.2020")</f>
        <v>https://scholar.google.com/citations?hl=en&amp;view_op=list_hcore&amp;venue=MbouORldYUUJ.2020</v>
      </c>
    </row>
    <row r="44">
      <c r="A44" s="68" t="str">
        <f>IFERROR(__xludf.DUMMYFUNCTION("""COMPUTED_VALUE"""),"Eventos da Área")</f>
        <v>Eventos da Área</v>
      </c>
      <c r="B44" s="118" t="str">
        <f>IFERROR(__xludf.DUMMYFUNCTION("""COMPUTED_VALUE"""),"SII")</f>
        <v>SII</v>
      </c>
      <c r="C44" s="118" t="str">
        <f>IFERROR(__xludf.DUMMYFUNCTION("""COMPUTED_VALUE"""),"IEEE/SICE International Symposium on System Integration")</f>
        <v>IEEE/SICE International Symposium on System Integration</v>
      </c>
      <c r="D44" s="119">
        <f>IFERROR(__xludf.DUMMYFUNCTION("""COMPUTED_VALUE"""),13.0)</f>
        <v>13</v>
      </c>
      <c r="E44" s="59" t="str">
        <f>IFERROR(__xludf.DUMMYFUNCTION("""COMPUTED_VALUE"""),"https://scholar.google.com/citations?hl=en&amp;view_op=list_hcore&amp;venue=fNsEtErxZiIJ.2020")</f>
        <v>https://scholar.google.com/citations?hl=en&amp;view_op=list_hcore&amp;venue=fNsEtErxZiIJ.2020</v>
      </c>
    </row>
    <row r="45">
      <c r="A45" s="68" t="str">
        <f>IFERROR(__xludf.DUMMYFUNCTION("""COMPUTED_VALUE"""),"Eventos da Área")</f>
        <v>Eventos da Área</v>
      </c>
      <c r="B45" s="118" t="str">
        <f>IFERROR(__xludf.DUMMYFUNCTION("""COMPUTED_VALUE"""),"IRC")</f>
        <v>IRC</v>
      </c>
      <c r="C45" s="118" t="str">
        <f>IFERROR(__xludf.DUMMYFUNCTION("""COMPUTED_VALUE"""),"IEEE International Conference on Robotic Computing")</f>
        <v>IEEE International Conference on Robotic Computing</v>
      </c>
      <c r="D45" s="119">
        <f>IFERROR(__xludf.DUMMYFUNCTION("""COMPUTED_VALUE"""),13.0)</f>
        <v>13</v>
      </c>
      <c r="E45" s="59" t="str">
        <f>IFERROR(__xludf.DUMMYFUNCTION("""COMPUTED_VALUE"""),"https://scholar.google.com/citations?hl=en&amp;view_op=list_hcore&amp;venue=X5iIIuMWM_8J.2020")</f>
        <v>https://scholar.google.com/citations?hl=en&amp;view_op=list_hcore&amp;venue=X5iIIuMWM_8J.2020</v>
      </c>
    </row>
    <row r="46">
      <c r="A46" s="68" t="str">
        <f>IFERROR(__xludf.DUMMYFUNCTION("""COMPUTED_VALUE"""),"Eventos da Área")</f>
        <v>Eventos da Área</v>
      </c>
      <c r="B46" s="118" t="str">
        <f>IFERROR(__xludf.DUMMYFUNCTION("""COMPUTED_VALUE"""),"UR")</f>
        <v>UR</v>
      </c>
      <c r="C46" s="118" t="str">
        <f>IFERROR(__xludf.DUMMYFUNCTION("""COMPUTED_VALUE"""),"International Conference on Ubiquitous Robots and Ambient Intelligence")</f>
        <v>International Conference on Ubiquitous Robots and Ambient Intelligence</v>
      </c>
      <c r="D46" s="119">
        <f>IFERROR(__xludf.DUMMYFUNCTION("""COMPUTED_VALUE"""),13.0)</f>
        <v>13</v>
      </c>
      <c r="E46" s="59" t="str">
        <f>IFERROR(__xludf.DUMMYFUNCTION("""COMPUTED_VALUE"""),"https://scholar.google.com/citations?hl=en&amp;view_op=list_hcore&amp;venue=cTek1BiAOX4J.2020")</f>
        <v>https://scholar.google.com/citations?hl=en&amp;view_op=list_hcore&amp;venue=cTek1BiAOX4J.2020</v>
      </c>
    </row>
    <row r="47">
      <c r="A47" s="68" t="str">
        <f>IFERROR(__xludf.DUMMYFUNCTION("""COMPUTED_VALUE"""),"Eventos da Área")</f>
        <v>Eventos da Área</v>
      </c>
      <c r="B47" s="118" t="str">
        <f>IFERROR(__xludf.DUMMYFUNCTION("""COMPUTED_VALUE"""),"ROBOT*")</f>
        <v>ROBOT*</v>
      </c>
      <c r="C47" s="118" t="str">
        <f>IFERROR(__xludf.DUMMYFUNCTION("""COMPUTED_VALUE"""),"Iberian Robotics Conference")</f>
        <v>Iberian Robotics Conference</v>
      </c>
      <c r="D47" s="120">
        <f>IFERROR(__xludf.DUMMYFUNCTION("""COMPUTED_VALUE"""),13.0)</f>
        <v>13</v>
      </c>
      <c r="E47" s="59" t="str">
        <f>IFERROR(__xludf.DUMMYFUNCTION("""COMPUTED_VALUE"""),"https://scholar.google.com/citations?hl=en&amp;view_op=list_hcore&amp;venue=QJsHI8scVfoJ.2020")</f>
        <v>https://scholar.google.com/citations?hl=en&amp;view_op=list_hcore&amp;venue=QJsHI8scVfoJ.2020</v>
      </c>
    </row>
    <row r="48">
      <c r="A48" s="68" t="str">
        <f>IFERROR(__xludf.DUMMYFUNCTION("""COMPUTED_VALUE"""),"Eventos da Área")</f>
        <v>Eventos da Área</v>
      </c>
      <c r="B48" s="118" t="str">
        <f>IFERROR(__xludf.DUMMYFUNCTION("""COMPUTED_VALUE"""),"ICCA")</f>
        <v>ICCA</v>
      </c>
      <c r="C48" s="118" t="str">
        <f>IFERROR(__xludf.DUMMYFUNCTION("""COMPUTED_VALUE"""),"IEEE International Conference on Control and Automation")</f>
        <v>IEEE International Conference on Control and Automation</v>
      </c>
      <c r="D48" s="120">
        <f>IFERROR(__xludf.DUMMYFUNCTION("""COMPUTED_VALUE"""),12.0)</f>
        <v>12</v>
      </c>
      <c r="E48" s="59" t="str">
        <f>IFERROR(__xludf.DUMMYFUNCTION("""COMPUTED_VALUE"""),"https://scholar.google.com/citations?hl=en&amp;view_op=list_hcore&amp;venue=3EfEMUAKK7wJ.2020")</f>
        <v>https://scholar.google.com/citations?hl=en&amp;view_op=list_hcore&amp;venue=3EfEMUAKK7wJ.2020</v>
      </c>
    </row>
    <row r="49">
      <c r="A49" s="68" t="str">
        <f>IFERROR(__xludf.DUMMYFUNCTION("""COMPUTED_VALUE"""),"Eventos da Área")</f>
        <v>Eventos da Área</v>
      </c>
      <c r="B49" s="118" t="str">
        <f>IFERROR(__xludf.DUMMYFUNCTION("""COMPUTED_VALUE"""),"RCAR")</f>
        <v>RCAR</v>
      </c>
      <c r="C49" s="118" t="str">
        <f>IFERROR(__xludf.DUMMYFUNCTION("""COMPUTED_VALUE"""),"IEEE International Conference on Real-time Computing and Robotics")</f>
        <v>IEEE International Conference on Real-time Computing and Robotics</v>
      </c>
      <c r="D49" s="120">
        <f>IFERROR(__xludf.DUMMYFUNCTION("""COMPUTED_VALUE"""),12.0)</f>
        <v>12</v>
      </c>
      <c r="E49" s="59" t="str">
        <f>IFERROR(__xludf.DUMMYFUNCTION("""COMPUTED_VALUE"""),"https://scholar.google.com/citations?hl=en&amp;view_op=list_hcore&amp;venue=LLCdED38YXkJ.2020")</f>
        <v>https://scholar.google.com/citations?hl=en&amp;view_op=list_hcore&amp;venue=LLCdED38YXkJ.2020</v>
      </c>
    </row>
    <row r="50">
      <c r="A50" s="68" t="str">
        <f>IFERROR(__xludf.DUMMYFUNCTION("""COMPUTED_VALUE"""),"Eventos da Área")</f>
        <v>Eventos da Área</v>
      </c>
      <c r="B50" s="118" t="str">
        <f>IFERROR(__xludf.DUMMYFUNCTION("""COMPUTED_VALUE"""),"TAROS")</f>
        <v>TAROS</v>
      </c>
      <c r="C50" s="118" t="str">
        <f>IFERROR(__xludf.DUMMYFUNCTION("""COMPUTED_VALUE"""),"Towards Autonomous Robotics Systems")</f>
        <v>Towards Autonomous Robotics Systems</v>
      </c>
      <c r="D50" s="120">
        <f>IFERROR(__xludf.DUMMYFUNCTION("""COMPUTED_VALUE"""),12.0)</f>
        <v>12</v>
      </c>
      <c r="E50" s="59" t="str">
        <f>IFERROR(__xludf.DUMMYFUNCTION("""COMPUTED_VALUE"""),"https://scholar.google.com/citations?hl=en&amp;view_op=list_hcore&amp;venue=3_Q6Rsb1TloJ.2020")</f>
        <v>https://scholar.google.com/citations?hl=en&amp;view_op=list_hcore&amp;venue=3_Q6Rsb1TloJ.2020</v>
      </c>
    </row>
    <row r="51">
      <c r="A51" s="68" t="str">
        <f>IFERROR(__xludf.DUMMYFUNCTION("""COMPUTED_VALUE"""),"Eventos da Área")</f>
        <v>Eventos da Área</v>
      </c>
      <c r="B51" s="118" t="str">
        <f>IFERROR(__xludf.DUMMYFUNCTION("""COMPUTED_VALUE"""),"RoboSoft")</f>
        <v>RoboSoft</v>
      </c>
      <c r="C51" s="118" t="str">
        <f>IFERROR(__xludf.DUMMYFUNCTION("""COMPUTED_VALUE"""),"IEEE International Conference on Soft Robotics")</f>
        <v>IEEE International Conference on Soft Robotics</v>
      </c>
      <c r="E51" s="59" t="str">
        <f>IFERROR(__xludf.DUMMYFUNCTION("""COMPUTED_VALUE"""),"https://scholar.google.com/citations?hl=en&amp;view_op=list_hcore&amp;venue=ozuU4D3JRbUJ.2020")</f>
        <v>https://scholar.google.com/citations?hl=en&amp;view_op=list_hcore&amp;venue=ozuU4D3JRbUJ.2020</v>
      </c>
    </row>
    <row r="52">
      <c r="A52" s="68" t="str">
        <f>IFERROR(__xludf.DUMMYFUNCTION("""COMPUTED_VALUE"""),"Eventos da Área")</f>
        <v>Eventos da Área</v>
      </c>
      <c r="B52" s="118" t="str">
        <f>IFERROR(__xludf.DUMMYFUNCTION("""COMPUTED_VALUE"""),"RoMoCo")</f>
        <v>RoMoCo</v>
      </c>
      <c r="C52" s="118" t="str">
        <f>IFERROR(__xludf.DUMMYFUNCTION("""COMPUTED_VALUE"""),"International Workshop on Robot Motion and Control")</f>
        <v>International Workshop on Robot Motion and Control</v>
      </c>
      <c r="D52" s="120">
        <f>IFERROR(__xludf.DUMMYFUNCTION("""COMPUTED_VALUE"""),11.0)</f>
        <v>11</v>
      </c>
      <c r="E52" s="59" t="str">
        <f>IFERROR(__xludf.DUMMYFUNCTION("""COMPUTED_VALUE"""),"https://scholar.google.com/citations?hl=en&amp;view_op=list_hcore&amp;venue=a7sB4asTg0EJ.2020")</f>
        <v>https://scholar.google.com/citations?hl=en&amp;view_op=list_hcore&amp;venue=a7sB4asTg0EJ.2020</v>
      </c>
    </row>
    <row r="53">
      <c r="A53" s="68" t="str">
        <f>IFERROR(__xludf.DUMMYFUNCTION("""COMPUTED_VALUE"""),"Eventos da Área")</f>
        <v>Eventos da Área</v>
      </c>
      <c r="B53" s="118" t="str">
        <f>IFERROR(__xludf.DUMMYFUNCTION("""COMPUTED_VALUE"""),"ARSO")</f>
        <v>ARSO</v>
      </c>
      <c r="C53" s="118" t="str">
        <f>IFERROR(__xludf.DUMMYFUNCTION("""COMPUTED_VALUE"""),"IEEE Workshop on Advanced Robotics and its Social Impacts (ARSO)")</f>
        <v>IEEE Workshop on Advanced Robotics and its Social Impacts (ARSO)</v>
      </c>
      <c r="D53" s="120">
        <f>IFERROR(__xludf.DUMMYFUNCTION("""COMPUTED_VALUE"""),10.0)</f>
        <v>10</v>
      </c>
      <c r="E53" s="59" t="str">
        <f>IFERROR(__xludf.DUMMYFUNCTION("""COMPUTED_VALUE"""),"https://scholar.google.com/citations?hl=en&amp;view_op=list_hcore&amp;venue=MHGPX0ifa6MJ.2020")</f>
        <v>https://scholar.google.com/citations?hl=en&amp;view_op=list_hcore&amp;venue=MHGPX0ifa6MJ.2020</v>
      </c>
    </row>
    <row r="54">
      <c r="A54" s="68" t="str">
        <f>IFERROR(__xludf.DUMMYFUNCTION("""COMPUTED_VALUE"""),"Eventos da Área")</f>
        <v>Eventos da Área</v>
      </c>
      <c r="B54" s="118" t="str">
        <f>IFERROR(__xludf.DUMMYFUNCTION("""COMPUTED_VALUE"""),"ICARM")</f>
        <v>ICARM</v>
      </c>
      <c r="C54" s="118" t="str">
        <f>IFERROR(__xludf.DUMMYFUNCTION("""COMPUTED_VALUE"""),"International Conference on Advanced Robotics and Mechatronics")</f>
        <v>International Conference on Advanced Robotics and Mechatronics</v>
      </c>
      <c r="D54" s="120">
        <f>IFERROR(__xludf.DUMMYFUNCTION("""COMPUTED_VALUE"""),9.0)</f>
        <v>9</v>
      </c>
      <c r="E54" s="59" t="str">
        <f>IFERROR(__xludf.DUMMYFUNCTION("""COMPUTED_VALUE"""),"https://scholar.google.com/citations?hl=en&amp;view_op=list_hcore&amp;venue=2ZThoUFv558J.2020")</f>
        <v>https://scholar.google.com/citations?hl=en&amp;view_op=list_hcore&amp;venue=2ZThoUFv558J.2020</v>
      </c>
    </row>
    <row r="55">
      <c r="A55" s="68" t="str">
        <f>IFERROR(__xludf.DUMMYFUNCTION("""COMPUTED_VALUE"""),"Eventos da Área")</f>
        <v>Eventos da Área</v>
      </c>
      <c r="B55" s="118" t="str">
        <f>IFERROR(__xludf.DUMMYFUNCTION("""COMPUTED_VALUE"""),"RITA")</f>
        <v>RITA</v>
      </c>
      <c r="C55" s="118" t="str">
        <f>IFERROR(__xludf.DUMMYFUNCTION("""COMPUTED_VALUE"""),"International Conference on Robot Intelligence Technology and Applications")</f>
        <v>International Conference on Robot Intelligence Technology and Applications</v>
      </c>
      <c r="D55" s="120">
        <f>IFERROR(__xludf.DUMMYFUNCTION("""COMPUTED_VALUE"""),8.0)</f>
        <v>8</v>
      </c>
      <c r="E55" s="59" t="str">
        <f>IFERROR(__xludf.DUMMYFUNCTION("""COMPUTED_VALUE"""),"https://scholar.google.com/citations?hl=en&amp;view_op=list_hcore&amp;venue=Tct1hCSnseoJ.2020")</f>
        <v>https://scholar.google.com/citations?hl=en&amp;view_op=list_hcore&amp;venue=Tct1hCSnseoJ.2020</v>
      </c>
    </row>
    <row r="56">
      <c r="A56" s="68" t="str">
        <f>IFERROR(__xludf.DUMMYFUNCTION("""COMPUTED_VALUE"""),"Eventos da Área")</f>
        <v>Eventos da Área</v>
      </c>
      <c r="B56" s="118" t="str">
        <f>IFERROR(__xludf.DUMMYFUNCTION("""COMPUTED_VALUE"""),"OCEAN")</f>
        <v>OCEAN</v>
      </c>
      <c r="C56" s="118" t="str">
        <f>IFERROR(__xludf.DUMMYFUNCTION("""COMPUTED_VALUE"""),"IEEE Oceans Conference")</f>
        <v>IEEE Oceans Conference</v>
      </c>
      <c r="D56" s="120">
        <f>IFERROR(__xludf.DUMMYFUNCTION("""COMPUTED_VALUE"""),7.0)</f>
        <v>7</v>
      </c>
      <c r="E56" s="59" t="str">
        <f>IFERROR(__xludf.DUMMYFUNCTION("""COMPUTED_VALUE"""),"https://scholar.google.com/citations?hl=en&amp;view_op=list_hcore&amp;venue=gefgzKCl3_0J.2020")</f>
        <v>https://scholar.google.com/citations?hl=en&amp;view_op=list_hcore&amp;venue=gefgzKCl3_0J.2020</v>
      </c>
    </row>
    <row r="57">
      <c r="A57" s="68" t="str">
        <f>IFERROR(__xludf.DUMMYFUNCTION("""COMPUTED_VALUE"""),"Eventos da Área")</f>
        <v>Eventos da Área</v>
      </c>
      <c r="B57" s="118" t="str">
        <f>IFERROR(__xludf.DUMMYFUNCTION("""COMPUTED_VALUE"""),"ACIRS")</f>
        <v>ACIRS</v>
      </c>
      <c r="C57" s="118" t="str">
        <f>IFERROR(__xludf.DUMMYFUNCTION("""COMPUTED_VALUE"""),"Asia-Pacific Conference on Intelligent Robot Systems")</f>
        <v>Asia-Pacific Conference on Intelligent Robot Systems</v>
      </c>
      <c r="D57" s="120">
        <f>IFERROR(__xludf.DUMMYFUNCTION("""COMPUTED_VALUE"""),7.0)</f>
        <v>7</v>
      </c>
      <c r="E57" s="59" t="str">
        <f>IFERROR(__xludf.DUMMYFUNCTION("""COMPUTED_VALUE"""),"https://scholar.google.com/citations?hl=en&amp;view_op=list_hcore&amp;venue=dQMJcSWIFtgJ.2020")</f>
        <v>https://scholar.google.com/citations?hl=en&amp;view_op=list_hcore&amp;venue=dQMJcSWIFtgJ.2020</v>
      </c>
    </row>
    <row r="58">
      <c r="A58" s="68" t="str">
        <f>IFERROR(__xludf.DUMMYFUNCTION("""COMPUTED_VALUE"""),"Eventos da Área")</f>
        <v>Eventos da Área</v>
      </c>
      <c r="B58" s="118" t="str">
        <f>IFERROR(__xludf.DUMMYFUNCTION("""COMPUTED_VALUE"""),"ICRAE")</f>
        <v>ICRAE</v>
      </c>
      <c r="C58" s="118" t="str">
        <f>IFERROR(__xludf.DUMMYFUNCTION("""COMPUTED_VALUE"""),"International Conference on Robotics and Automation Engineering")</f>
        <v>International Conference on Robotics and Automation Engineering</v>
      </c>
      <c r="D58" s="120">
        <f>IFERROR(__xludf.DUMMYFUNCTION("""COMPUTED_VALUE"""),7.0)</f>
        <v>7</v>
      </c>
      <c r="E58" s="59" t="str">
        <f>IFERROR(__xludf.DUMMYFUNCTION("""COMPUTED_VALUE"""),"https://scholar.google.com/citations?hl=en&amp;view_op=list_hcore&amp;venue=U0jXyBJv17EJ.2020")</f>
        <v>https://scholar.google.com/citations?hl=en&amp;view_op=list_hcore&amp;venue=U0jXyBJv17EJ.2020</v>
      </c>
    </row>
    <row r="59">
      <c r="A59" s="68" t="str">
        <f>IFERROR(__xludf.DUMMYFUNCTION("""COMPUTED_VALUE"""),"Eventos da Área")</f>
        <v>Eventos da Área</v>
      </c>
      <c r="B59" s="118" t="str">
        <f>IFERROR(__xludf.DUMMYFUNCTION("""COMPUTED_VALUE"""),"CBS")</f>
        <v>CBS</v>
      </c>
      <c r="C59" s="118" t="str">
        <f>IFERROR(__xludf.DUMMYFUNCTION("""COMPUTED_VALUE"""),"IEEE International Conference on Cyborg and Bionic Systems")</f>
        <v>IEEE International Conference on Cyborg and Bionic Systems</v>
      </c>
      <c r="D59" s="120">
        <f>IFERROR(__xludf.DUMMYFUNCTION("""COMPUTED_VALUE"""),4.0)</f>
        <v>4</v>
      </c>
      <c r="E59" s="59" t="str">
        <f>IFERROR(__xludf.DUMMYFUNCTION("""COMPUTED_VALUE"""),"https://scholar.google.com/citations?hl=en&amp;view_op=list_hcore&amp;venue=o5Mc40u6CcYJ.2020")</f>
        <v>https://scholar.google.com/citations?hl=en&amp;view_op=list_hcore&amp;venue=o5Mc40u6CcYJ.2020</v>
      </c>
    </row>
    <row r="60">
      <c r="A60" s="68" t="str">
        <f>IFERROR(__xludf.DUMMYFUNCTION("""COMPUTED_VALUE"""),"Eventos da Área")</f>
        <v>Eventos da Área</v>
      </c>
      <c r="B60" s="118" t="str">
        <f>IFERROR(__xludf.DUMMYFUNCTION("""COMPUTED_VALUE"""),"ISR*")</f>
        <v>ISR*</v>
      </c>
      <c r="C60" s="118" t="str">
        <f>IFERROR(__xludf.DUMMYFUNCTION("""COMPUTED_VALUE"""),"IEEE International Conference on Intelligence and Safety for Robotics")</f>
        <v>IEEE International Conference on Intelligence and Safety for Robotics</v>
      </c>
      <c r="D60" s="120">
        <f>IFERROR(__xludf.DUMMYFUNCTION("""COMPUTED_VALUE"""),4.0)</f>
        <v>4</v>
      </c>
      <c r="E60" s="59" t="str">
        <f>IFERROR(__xludf.DUMMYFUNCTION("""COMPUTED_VALUE"""),"https://scholar.google.com/citations?hl=en&amp;view_op=list_hcore&amp;venue=CVpdLFbXIAIJ.2020")</f>
        <v>https://scholar.google.com/citations?hl=en&amp;view_op=list_hcore&amp;venue=CVpdLFbXIAIJ.2020</v>
      </c>
    </row>
    <row r="61">
      <c r="A61" s="68" t="str">
        <f>IFERROR(__xludf.DUMMYFUNCTION("""COMPUTED_VALUE"""),"Eventos da Área")</f>
        <v>Eventos da Área</v>
      </c>
      <c r="B61" s="118" t="str">
        <f>IFERROR(__xludf.DUMMYFUNCTION("""COMPUTED_VALUE"""),"IFAC*")</f>
        <v>IFAC*</v>
      </c>
      <c r="C61" s="118" t="str">
        <f>IFERROR(__xludf.DUMMYFUNCTION("""COMPUTED_VALUE"""),"IFAC - World Congress of the International Federation of Automatic Control")</f>
        <v>IFAC - World Congress of the International Federation of Automatic Control</v>
      </c>
      <c r="E61" s="59" t="str">
        <f>IFERROR(__xludf.DUMMYFUNCTION("""COMPUTED_VALUE"""),"https://scholar.google.com/citations?hl=en&amp;view_op=list_hcore&amp;venue=pq9AC66DKAMJ.2020")</f>
        <v>https://scholar.google.com/citations?hl=en&amp;view_op=list_hcore&amp;venue=pq9AC66DKAMJ.2020</v>
      </c>
    </row>
    <row r="62">
      <c r="A62" s="68" t="str">
        <f>IFERROR(__xludf.DUMMYFUNCTION("""COMPUTED_VALUE"""),"Eventos da Área")</f>
        <v>Eventos da Área</v>
      </c>
      <c r="B62" s="118" t="str">
        <f>IFERROR(__xludf.DUMMYFUNCTION("""COMPUTED_VALUE"""),"SBAI*")</f>
        <v>SBAI*</v>
      </c>
      <c r="C62" s="118" t="str">
        <f>IFERROR(__xludf.DUMMYFUNCTION("""COMPUTED_VALUE"""),"Simpósio Brasileiro de Automação Inteligente")</f>
        <v>Simpósio Brasileiro de Automação Inteligente</v>
      </c>
      <c r="D62" s="120"/>
      <c r="E62" s="120"/>
      <c r="F62" s="120"/>
    </row>
    <row r="63">
      <c r="A63" s="68" t="str">
        <f>IFERROR(__xludf.DUMMYFUNCTION("""COMPUTED_VALUE"""),"Eventos da Área")</f>
        <v>Eventos da Área</v>
      </c>
      <c r="B63" s="118" t="str">
        <f>IFERROR(__xludf.DUMMYFUNCTION("""COMPUTED_VALUE"""),"CBA*")</f>
        <v>CBA*</v>
      </c>
      <c r="C63" s="118" t="str">
        <f>IFERROR(__xludf.DUMMYFUNCTION("""COMPUTED_VALUE"""),"Congresso Brasileiro de Automática")</f>
        <v>Congresso Brasileiro de Automática</v>
      </c>
      <c r="D63" s="120"/>
      <c r="E63" s="120"/>
      <c r="F63" s="120"/>
    </row>
    <row r="64">
      <c r="A64" s="68" t="str">
        <f>IFERROR(__xludf.DUMMYFUNCTION("""COMPUTED_VALUE"""),"Eventos da Área")</f>
        <v>Eventos da Área</v>
      </c>
      <c r="B64" s="118" t="str">
        <f>IFERROR(__xludf.DUMMYFUNCTION("""COMPUTED_VALUE"""),"BRASERO*")</f>
        <v>BRASERO*</v>
      </c>
      <c r="C64" s="118" t="str">
        <f>IFERROR(__xludf.DUMMYFUNCTION("""COMPUTED_VALUE"""),"Brazilian Workshop on Service Robotics")</f>
        <v>Brazilian Workshop on Service Robotics</v>
      </c>
      <c r="D64" s="120"/>
      <c r="E64" s="120"/>
      <c r="F64" s="120"/>
    </row>
    <row r="65">
      <c r="A65" s="68" t="str">
        <f>IFERROR(__xludf.DUMMYFUNCTION("""COMPUTED_VALUE"""),"Eventos da Área")</f>
        <v>Eventos da Área</v>
      </c>
      <c r="B65" s="118" t="str">
        <f>IFERROR(__xludf.DUMMYFUNCTION("""COMPUTED_VALUE"""),"BRAHUR*")</f>
        <v>BRAHUR*</v>
      </c>
      <c r="C65" s="118" t="str">
        <f>IFERROR(__xludf.DUMMYFUNCTION("""COMPUTED_VALUE"""),"Brazilian Humanoid Robot Workshop")</f>
        <v>Brazilian Humanoid Robot Workshop</v>
      </c>
      <c r="D65" s="120"/>
      <c r="E65" s="120"/>
      <c r="F65" s="120"/>
    </row>
    <row r="66">
      <c r="A66" s="68" t="str">
        <f>IFERROR(__xludf.DUMMYFUNCTION("""COMPUTED_VALUE"""),"Eventos da Área")</f>
        <v>Eventos da Área</v>
      </c>
      <c r="B66" s="118" t="str">
        <f>IFERROR(__xludf.DUMMYFUNCTION("""COMPUTED_VALUE"""),"FSR*")</f>
        <v>FSR*</v>
      </c>
      <c r="C66" s="118" t="str">
        <f>IFERROR(__xludf.DUMMYFUNCTION("""COMPUTED_VALUE"""),"Conference on Field and Service Robotics")</f>
        <v>Conference on Field and Service Robotics</v>
      </c>
      <c r="E66" s="120"/>
      <c r="F66" s="120"/>
    </row>
    <row r="67">
      <c r="A67" s="68" t="str">
        <f>IFERROR(__xludf.DUMMYFUNCTION("""COMPUTED_VALUE"""),"Eventos da Área")</f>
        <v>Eventos da Área</v>
      </c>
      <c r="B67" s="118" t="str">
        <f>IFERROR(__xludf.DUMMYFUNCTION("""COMPUTED_VALUE"""),"DARS*")</f>
        <v>DARS*</v>
      </c>
      <c r="C67" s="118" t="str">
        <f>IFERROR(__xludf.DUMMYFUNCTION("""COMPUTED_VALUE"""),"International Symposium on Distributed Autonomous Robotic Systems")</f>
        <v>International Symposium on Distributed Autonomous Robotic Systems</v>
      </c>
      <c r="D67" s="120"/>
      <c r="E67" s="120"/>
      <c r="F67" s="120"/>
    </row>
    <row r="68">
      <c r="A68" s="68" t="str">
        <f>IFERROR(__xludf.DUMMYFUNCTION("""COMPUTED_VALUE"""),"Eventos da Área")</f>
        <v>Eventos da Área</v>
      </c>
      <c r="B68" s="118" t="str">
        <f>IFERROR(__xludf.DUMMYFUNCTION("""COMPUTED_VALUE"""),"ISAM*")</f>
        <v>ISAM*</v>
      </c>
      <c r="C68" s="118" t="str">
        <f>IFERROR(__xludf.DUMMYFUNCTION("""COMPUTED_VALUE"""),"IEEE International Symposium on Assembly and Manufacturing")</f>
        <v>IEEE International Symposium on Assembly and Manufacturing</v>
      </c>
      <c r="D68" s="120"/>
      <c r="E68" s="120"/>
      <c r="F68" s="120"/>
    </row>
    <row r="69">
      <c r="A69" s="68" t="str">
        <f>IFERROR(__xludf.DUMMYFUNCTION("""COMPUTED_VALUE"""),"Eventos da Área")</f>
        <v>Eventos da Área</v>
      </c>
      <c r="B69" t="str">
        <f>IFERROR(__xludf.DUMMYFUNCTION("""COMPUTED_VALUE"""),"SIMPAR*")</f>
        <v>SIMPAR*</v>
      </c>
      <c r="C69" t="str">
        <f>IFERROR(__xludf.DUMMYFUNCTION("""COMPUTED_VALUE"""),"IEEE International Conference on Simulation, Modeling, and Programming for Autonomous Robots")</f>
        <v>IEEE International Conference on Simulation, Modeling, and Programming for Autonomous Robots</v>
      </c>
    </row>
    <row r="70">
      <c r="A70" s="68" t="str">
        <f>IFERROR(__xludf.DUMMYFUNCTION("""COMPUTED_VALUE"""),"Eventos da Área")</f>
        <v>Eventos da Área</v>
      </c>
      <c r="B70" t="str">
        <f>IFERROR(__xludf.DUMMYFUNCTION("""COMPUTED_VALUE"""),"RAHA")</f>
        <v>RAHA</v>
      </c>
      <c r="C70" t="str">
        <f>IFERROR(__xludf.DUMMYFUNCTION("""COMPUTED_VALUE"""),"IEEE Internacional Conference on Robotics and Automation for Humanitarian Applications")</f>
        <v>IEEE Internacional Conference on Robotics and Automation for Humanitarian Applications</v>
      </c>
    </row>
    <row r="71">
      <c r="A71" s="68" t="str">
        <f>IFERROR(__xludf.DUMMYFUNCTION("""COMPUTED_VALUE"""),"Eventos da Área")</f>
        <v>Eventos da Área</v>
      </c>
      <c r="B71" t="str">
        <f>IFERROR(__xludf.DUMMYFUNCTION("""COMPUTED_VALUE"""),"ROSE")</f>
        <v>ROSE</v>
      </c>
      <c r="C71" t="str">
        <f>IFERROR(__xludf.DUMMYFUNCTION("""COMPUTED_VALUE"""),"IEEE International Symposium on Robotic and Sensors Environments")</f>
        <v>IEEE International Symposium on Robotic and Sensors Environments</v>
      </c>
    </row>
    <row r="72">
      <c r="A72" s="68" t="str">
        <f>IFERROR(__xludf.DUMMYFUNCTION("""COMPUTED_VALUE"""),"Eventos da Área")</f>
        <v>Eventos da Área</v>
      </c>
      <c r="B72" t="str">
        <f>IFERROR(__xludf.DUMMYFUNCTION("""COMPUTED_VALUE"""),"ISMCR")</f>
        <v>ISMCR</v>
      </c>
      <c r="C72" t="str">
        <f>IFERROR(__xludf.DUMMYFUNCTION("""COMPUTED_VALUE"""),"International Symposium on Measurement and Control in Robotics")</f>
        <v>International Symposium on Measurement and Control in Robotics</v>
      </c>
    </row>
    <row r="73">
      <c r="A73" s="68" t="str">
        <f>IFERROR(__xludf.DUMMYFUNCTION("""COMPUTED_VALUE"""),"Eventos da Área")</f>
        <v>Eventos da Área</v>
      </c>
      <c r="B73" t="str">
        <f>IFERROR(__xludf.DUMMYFUNCTION("""COMPUTED_VALUE"""),"MRS*")</f>
        <v>MRS*</v>
      </c>
      <c r="C73" t="str">
        <f>IFERROR(__xludf.DUMMYFUNCTION("""COMPUTED_VALUE"""),"International Symposium on Multi-Robot and Multi-Agent Systems")</f>
        <v>International Symposium on Multi-Robot and Multi-Agent Systems</v>
      </c>
    </row>
    <row r="74">
      <c r="A74" s="68" t="str">
        <f>IFERROR(__xludf.DUMMYFUNCTION("""COMPUTED_VALUE"""),"Eventos da Área")</f>
        <v>Eventos da Área</v>
      </c>
      <c r="B74" t="str">
        <f>IFERROR(__xludf.DUMMYFUNCTION("""COMPUTED_VALUE"""),"WRC")</f>
        <v>WRC</v>
      </c>
      <c r="C74" t="str">
        <f>IFERROR(__xludf.DUMMYFUNCTION("""COMPUTED_VALUE"""),"World Robot Conference")</f>
        <v>World Robot Conference</v>
      </c>
    </row>
    <row r="75">
      <c r="A75" s="68" t="str">
        <f>IFERROR(__xludf.DUMMYFUNCTION("""COMPUTED_VALUE"""),"Eventos da Área")</f>
        <v>Eventos da Área</v>
      </c>
      <c r="B75" t="str">
        <f>IFERROR(__xludf.DUMMYFUNCTION("""COMPUTED_VALUE"""),"ICMCR")</f>
        <v>ICMCR</v>
      </c>
      <c r="C75" t="str">
        <f>IFERROR(__xludf.DUMMYFUNCTION("""COMPUTED_VALUE"""),"International Conference on Mechatronics, Control and Robotics")</f>
        <v>International Conference on Mechatronics, Control and Robotics</v>
      </c>
    </row>
    <row r="76">
      <c r="A76" s="68" t="str">
        <f>IFERROR(__xludf.DUMMYFUNCTION("""COMPUTED_VALUE"""),"Eventos da Área")</f>
        <v>Eventos da Área</v>
      </c>
      <c r="B76" t="str">
        <f>IFERROR(__xludf.DUMMYFUNCTION("""COMPUTED_VALUE"""),"ACRA")</f>
        <v>ACRA</v>
      </c>
      <c r="C76" t="str">
        <f>IFERROR(__xludf.DUMMYFUNCTION("""COMPUTED_VALUE"""),"Australasian Conference on Robotics and Automation")</f>
        <v>Australasian Conference on Robotics and Automation</v>
      </c>
    </row>
    <row r="77">
      <c r="A77" s="68" t="str">
        <f>IFERROR(__xludf.DUMMYFUNCTION("""COMPUTED_VALUE"""),"Eventos da Área")</f>
        <v>Eventos da Área</v>
      </c>
      <c r="B77" t="str">
        <f>IFERROR(__xludf.DUMMYFUNCTION("""COMPUTED_VALUE"""),"WHC*")</f>
        <v>WHC*</v>
      </c>
      <c r="C77" t="str">
        <f>IFERROR(__xludf.DUMMYFUNCTION("""COMPUTED_VALUE"""),"Australasian Conference on Robotics and Automation")</f>
        <v>Australasian Conference on Robotics and Automation</v>
      </c>
    </row>
    <row r="78">
      <c r="A78" s="68" t="str">
        <f>IFERROR(__xludf.DUMMYFUNCTION("""COMPUTED_VALUE"""),"Eventos da Área")</f>
        <v>Eventos da Área</v>
      </c>
      <c r="B78" t="str">
        <f>IFERROR(__xludf.DUMMYFUNCTION("""COMPUTED_VALUE"""),"IAV**")</f>
        <v>IAV**</v>
      </c>
      <c r="C78" t="str">
        <f>IFERROR(__xludf.DUMMYFUNCTION("""COMPUTED_VALUE"""),"IFAC Symposium on Intelligent Autonomous Vehicles")</f>
        <v>IFAC Symposium on Intelligent Autonomous Vehicles</v>
      </c>
    </row>
    <row r="79">
      <c r="A79" s="68" t="str">
        <f>IFERROR(__xludf.DUMMYFUNCTION("""COMPUTED_VALUE"""),"Eventos da Área")</f>
        <v>Eventos da Área</v>
      </c>
      <c r="B79" t="str">
        <f>IFERROR(__xludf.DUMMYFUNCTION("""COMPUTED_VALUE"""),"ICAROB")</f>
        <v>ICAROB</v>
      </c>
      <c r="C79" t="str">
        <f>IFERROR(__xludf.DUMMYFUNCTION("""COMPUTED_VALUE"""),"International Conference on Artificial Life and Robotics")</f>
        <v>International Conference on Artificial Life and Robotics</v>
      </c>
    </row>
    <row r="80">
      <c r="A80" s="68" t="str">
        <f>IFERROR(__xludf.DUMMYFUNCTION("""COMPUTED_VALUE"""),"Eventos da Área")</f>
        <v>Eventos da Área</v>
      </c>
      <c r="B80" t="str">
        <f>IFERROR(__xludf.DUMMYFUNCTION("""COMPUTED_VALUE"""),"ISMR")</f>
        <v>ISMR</v>
      </c>
      <c r="C80" t="str">
        <f>IFERROR(__xludf.DUMMYFUNCTION("""COMPUTED_VALUE"""),"International Symposium on Medical Robotics")</f>
        <v>International Symposium on Medical Robotics</v>
      </c>
    </row>
    <row r="81">
      <c r="A81" s="68" t="str">
        <f>IFERROR(__xludf.DUMMYFUNCTION("""COMPUTED_VALUE"""),"Eventos da Área")</f>
        <v>Eventos da Área</v>
      </c>
      <c r="B81" t="str">
        <f>IFERROR(__xludf.DUMMYFUNCTION("""COMPUTED_VALUE"""),"MNR")</f>
        <v>MNR</v>
      </c>
      <c r="C81" t="str">
        <f>IFERROR(__xludf.DUMMYFUNCTION("""COMPUTED_VALUE"""),"Mostra Nacional de Robótica")</f>
        <v>Mostra Nacional de Robótica</v>
      </c>
    </row>
    <row r="82">
      <c r="A82" s="68" t="str">
        <f>IFERROR(__xludf.DUMMYFUNCTION("""COMPUTED_VALUE"""),"Eventos da Área")</f>
        <v>Eventos da Área</v>
      </c>
      <c r="B82" t="str">
        <f>IFERROR(__xludf.DUMMYFUNCTION("""COMPUTED_VALUE"""),"ICDL-EpiRob")</f>
        <v>ICDL-EpiRob</v>
      </c>
      <c r="C82" t="str">
        <f>IFERROR(__xludf.DUMMYFUNCTION("""COMPUTED_VALUE"""),"IEEE International Conference on Development and Learning and Epigenetic Robotics")</f>
        <v>IEEE International Conference on Development and Learning and Epigenetic Robotics</v>
      </c>
    </row>
    <row r="83">
      <c r="A83" s="68" t="str">
        <f>IFERROR(__xludf.DUMMYFUNCTION("""COMPUTED_VALUE"""),"Eventos da Área")</f>
        <v>Eventos da Área</v>
      </c>
    </row>
    <row r="84">
      <c r="A84" s="68" t="str">
        <f>IFERROR(__xludf.DUMMYFUNCTION("""COMPUTED_VALUE"""),"Eventos da Área")</f>
        <v>Eventos da Área</v>
      </c>
    </row>
    <row r="85">
      <c r="A85" s="68" t="str">
        <f>IFERROR(__xludf.DUMMYFUNCTION("""COMPUTED_VALUE"""),"Eventos da Área")</f>
        <v>Eventos da Área</v>
      </c>
    </row>
    <row r="86">
      <c r="A86" s="68" t="str">
        <f>IFERROR(__xludf.DUMMYFUNCTION("""COMPUTED_VALUE"""),"Eventos da Área")</f>
        <v>Eventos da Área</v>
      </c>
    </row>
    <row r="87">
      <c r="A87" s="68" t="str">
        <f>IFERROR(__xludf.DUMMYFUNCTION("""COMPUTED_VALUE"""),"Eventos da Área")</f>
        <v>Eventos da Área</v>
      </c>
    </row>
    <row r="88">
      <c r="A88" s="68" t="str">
        <f>IFERROR(__xludf.DUMMYFUNCTION("""COMPUTED_VALUE"""),"Eventos da Área")</f>
        <v>Eventos da Área</v>
      </c>
    </row>
    <row r="89">
      <c r="A89" s="68" t="str">
        <f>IFERROR(__xludf.DUMMYFUNCTION("""COMPUTED_VALUE"""),"Eventos da Área")</f>
        <v>Eventos da Área</v>
      </c>
    </row>
    <row r="90">
      <c r="A90" s="68" t="str">
        <f>IFERROR(__xludf.DUMMYFUNCTION("""COMPUTED_VALUE"""),"Eventos da Área")</f>
        <v>Eventos da Área</v>
      </c>
    </row>
    <row r="91">
      <c r="A91" s="68" t="str">
        <f>IFERROR(__xludf.DUMMYFUNCTION("""COMPUTED_VALUE"""),"Eventos da Área")</f>
        <v>Eventos da Área</v>
      </c>
    </row>
    <row r="92">
      <c r="A92" s="68" t="str">
        <f>IFERROR(__xludf.DUMMYFUNCTION("""COMPUTED_VALUE"""),"Eventos da Área")</f>
        <v>Eventos da Área</v>
      </c>
    </row>
    <row r="93">
      <c r="A93" s="68" t="str">
        <f>IFERROR(__xludf.DUMMYFUNCTION("""COMPUTED_VALUE"""),"Eventos da Área")</f>
        <v>Eventos da Área</v>
      </c>
    </row>
    <row r="94">
      <c r="A94" s="68" t="str">
        <f>IFERROR(__xludf.DUMMYFUNCTION("""COMPUTED_VALUE"""),"Eventos da Área")</f>
        <v>Eventos da Área</v>
      </c>
    </row>
    <row r="95">
      <c r="A95" s="68" t="str">
        <f>IFERROR(__xludf.DUMMYFUNCTION("""COMPUTED_VALUE"""),"Eventos da Área")</f>
        <v>Eventos da Área</v>
      </c>
    </row>
    <row r="96">
      <c r="A96" s="68" t="str">
        <f>IFERROR(__xludf.DUMMYFUNCTION("""COMPUTED_VALUE"""),"Eventos da Área")</f>
        <v>Eventos da Área</v>
      </c>
    </row>
    <row r="97">
      <c r="A97" s="68" t="str">
        <f>IFERROR(__xludf.DUMMYFUNCTION("""COMPUTED_VALUE"""),"Eventos da Área")</f>
        <v>Eventos da Área</v>
      </c>
    </row>
    <row r="98">
      <c r="A98" s="68" t="str">
        <f>IFERROR(__xludf.DUMMYFUNCTION("""COMPUTED_VALUE"""),"Eventos da Área")</f>
        <v>Eventos da Área</v>
      </c>
    </row>
    <row r="99">
      <c r="A99" s="68" t="str">
        <f>IFERROR(__xludf.DUMMYFUNCTION("""COMPUTED_VALUE"""),"Eventos da Área")</f>
        <v>Eventos da Área</v>
      </c>
    </row>
    <row r="100">
      <c r="A100" s="68" t="str">
        <f>IFERROR(__xludf.DUMMYFUNCTION("""COMPUTED_VALUE"""),"Eventos da Área")</f>
        <v>Eventos da Área</v>
      </c>
    </row>
    <row r="101">
      <c r="A101" s="68" t="str">
        <f>IFERROR(__xludf.DUMMYFUNCTION("""COMPUTED_VALUE"""),"Eventos da Área")</f>
        <v>Eventos da Área</v>
      </c>
    </row>
    <row r="102">
      <c r="A102" s="68"/>
    </row>
  </sheetData>
  <mergeCells count="3">
    <mergeCell ref="C51:D51"/>
    <mergeCell ref="C61:D61"/>
    <mergeCell ref="C66:D66"/>
  </mergeCells>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 r:id="rId12" ref="E13"/>
    <hyperlink r:id="rId13" ref="E14"/>
    <hyperlink r:id="rId14" ref="E15"/>
    <hyperlink r:id="rId15" ref="E16"/>
    <hyperlink r:id="rId16" ref="E17"/>
    <hyperlink r:id="rId17" ref="E18"/>
    <hyperlink r:id="rId18" ref="E19"/>
    <hyperlink r:id="rId19" ref="E20"/>
    <hyperlink r:id="rId20" ref="E21"/>
    <hyperlink r:id="rId21" ref="E22"/>
    <hyperlink r:id="rId22" ref="E23"/>
    <hyperlink r:id="rId23" ref="E24"/>
    <hyperlink r:id="rId24" ref="E25"/>
    <hyperlink r:id="rId25" ref="E26"/>
    <hyperlink r:id="rId26" ref="E27"/>
    <hyperlink r:id="rId27" ref="E28"/>
    <hyperlink r:id="rId28" ref="E29"/>
    <hyperlink r:id="rId29" ref="E30"/>
    <hyperlink r:id="rId30" ref="E31"/>
    <hyperlink r:id="rId31" ref="E32"/>
    <hyperlink r:id="rId32" ref="E33"/>
    <hyperlink r:id="rId33" ref="E34"/>
    <hyperlink r:id="rId34" ref="E35"/>
    <hyperlink r:id="rId35" ref="E36"/>
    <hyperlink r:id="rId36" ref="E37"/>
    <hyperlink r:id="rId37" ref="E38"/>
    <hyperlink r:id="rId38" ref="E39"/>
    <hyperlink r:id="rId39" ref="E40"/>
    <hyperlink r:id="rId40" ref="E41"/>
    <hyperlink r:id="rId41" ref="E42"/>
    <hyperlink r:id="rId42" ref="E43"/>
    <hyperlink r:id="rId43" ref="E44"/>
    <hyperlink r:id="rId44" ref="E45"/>
    <hyperlink r:id="rId45" ref="E46"/>
    <hyperlink r:id="rId46" ref="E47"/>
    <hyperlink r:id="rId47" ref="E48"/>
    <hyperlink r:id="rId48" ref="E49"/>
    <hyperlink r:id="rId49" ref="E50"/>
    <hyperlink r:id="rId50" ref="E51"/>
    <hyperlink r:id="rId51" ref="E52"/>
    <hyperlink r:id="rId52" ref="E53"/>
    <hyperlink r:id="rId53" ref="E54"/>
    <hyperlink r:id="rId54" ref="E55"/>
    <hyperlink r:id="rId55" ref="E56"/>
    <hyperlink r:id="rId56" ref="E57"/>
    <hyperlink r:id="rId57" ref="E58"/>
    <hyperlink r:id="rId58" ref="E59"/>
    <hyperlink r:id="rId59" ref="E60"/>
    <hyperlink r:id="rId60" ref="E61"/>
  </hyperlinks>
  <drawing r:id="rId6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3.0"/>
    <col customWidth="1" min="3" max="3" width="51.13"/>
    <col customWidth="1" min="5" max="5" width="72.0"/>
    <col customWidth="1" min="6" max="6" width="13.25"/>
    <col customWidth="1" min="7" max="7" width="28.63"/>
    <col customWidth="1" min="8" max="8" width="26.0"/>
    <col customWidth="1" min="9" max="9" width="33.75"/>
    <col customWidth="1" min="10" max="10" width="27.38"/>
  </cols>
  <sheetData>
    <row r="1">
      <c r="A1" s="1" t="str">
        <f>IFERROR(__xludf.DUMMYFUNCTION("importrange(""https://docs.google.com/spreadsheets/d/1T1E2THFZsxLETLyAt6Kx67aOqmwkuvf6E3agRNeA2ak/edit#gid=1856373577"",""CE-SEG!A1:J150"")"),"TOP")</f>
        <v>TOP</v>
      </c>
      <c r="B1" s="1" t="str">
        <f>IFERROR(__xludf.DUMMYFUNCTION("""COMPUTED_VALUE"""),"SIGLA")</f>
        <v>SIGLA</v>
      </c>
      <c r="C1" s="1" t="str">
        <f>IFERROR(__xludf.DUMMYFUNCTION("""COMPUTED_VALUE"""),"NOME")</f>
        <v>NOME</v>
      </c>
      <c r="D1" s="1" t="str">
        <f>IFERROR(__xludf.DUMMYFUNCTION("""COMPUTED_VALUE"""),"H5")</f>
        <v>H5</v>
      </c>
      <c r="E1" s="1" t="str">
        <f>IFERROR(__xludf.DUMMYFUNCTION("""COMPUTED_VALUE"""),"GOOGLE METRICS LINK")</f>
        <v>GOOGLE METRICS LINK</v>
      </c>
      <c r="F1" t="str">
        <f>IFERROR(__xludf.DUMMYFUNCTION("""COMPUTED_VALUE"""),"Nova Sigla")</f>
        <v>Nova Sigla</v>
      </c>
      <c r="G1" s="2" t="str">
        <f>IFERROR(__xludf.DUMMYFUNCTION("""COMPUTED_VALUE"""),"Novo Nome")</f>
        <v>Novo Nome</v>
      </c>
      <c r="H1" s="2" t="str">
        <f>IFERROR(__xludf.DUMMYFUNCTION("""COMPUTED_VALUE"""),"Nome Alternativo")</f>
        <v>Nome Alternativo</v>
      </c>
      <c r="I1" s="1" t="str">
        <f>IFERROR(__xludf.DUMMYFUNCTION("""COMPUTED_VALUE"""),"Link da DBLP")</f>
        <v>Link da DBLP</v>
      </c>
      <c r="J1" s="2" t="str">
        <f>IFERROR(__xludf.DUMMYFUNCTION("""COMPUTED_VALUE"""),"Link da SOL")</f>
        <v>Link da SOL</v>
      </c>
      <c r="K1" s="2"/>
      <c r="L1" s="2"/>
      <c r="M1" s="2"/>
      <c r="N1" s="2"/>
      <c r="O1" s="2"/>
      <c r="P1" s="2"/>
      <c r="Q1" s="2"/>
      <c r="R1" s="2"/>
      <c r="S1" s="2"/>
      <c r="T1" s="2"/>
      <c r="U1" s="2"/>
      <c r="V1" s="2"/>
      <c r="W1" s="2"/>
    </row>
    <row r="2">
      <c r="A2" s="58" t="str">
        <f>IFERROR(__xludf.DUMMYFUNCTION("""COMPUTED_VALUE"""),"Top 10")</f>
        <v>Top 10</v>
      </c>
      <c r="B2" s="121" t="str">
        <f>IFERROR(__xludf.DUMMYFUNCTION("""COMPUTED_VALUE"""),"S&amp;P")</f>
        <v>S&amp;P</v>
      </c>
      <c r="C2" s="121" t="str">
        <f>IFERROR(__xludf.DUMMYFUNCTION("""COMPUTED_VALUE"""),"IEEE Symposium on Security and Privacy")</f>
        <v>IEEE Symposium on Security and Privacy</v>
      </c>
      <c r="D2" s="122">
        <f>IFERROR(__xludf.DUMMYFUNCTION("""COMPUTED_VALUE"""),112.0)</f>
        <v>112</v>
      </c>
      <c r="E2" s="59" t="str">
        <f>IFERROR(__xludf.DUMMYFUNCTION("""COMPUTED_VALUE"""),"https://scholar.google.com/citations?hl=en&amp;view_op=list_hcore&amp;venue=cyrroHz3a0YJ.2024")</f>
        <v>https://scholar.google.com/citations?hl=en&amp;view_op=list_hcore&amp;venue=cyrroHz3a0YJ.2024</v>
      </c>
      <c r="I2" s="60" t="str">
        <f>IFERROR(__xludf.DUMMYFUNCTION("""COMPUTED_VALUE"""),"https://dblp.org/db/conf/sp/index.html")</f>
        <v>https://dblp.org/db/conf/sp/index.html</v>
      </c>
    </row>
    <row r="3">
      <c r="A3" s="58" t="str">
        <f>IFERROR(__xludf.DUMMYFUNCTION("""COMPUTED_VALUE"""),"Top 10")</f>
        <v>Top 10</v>
      </c>
      <c r="B3" s="121" t="str">
        <f>IFERROR(__xludf.DUMMYFUNCTION("""COMPUTED_VALUE"""),"USENIX Security")</f>
        <v>USENIX Security</v>
      </c>
      <c r="C3" s="121" t="str">
        <f>IFERROR(__xludf.DUMMYFUNCTION("""COMPUTED_VALUE"""),"USENIX Security Symposium")</f>
        <v>USENIX Security Symposium</v>
      </c>
      <c r="D3" s="122">
        <f>IFERROR(__xludf.DUMMYFUNCTION("""COMPUTED_VALUE"""),106.0)</f>
        <v>106</v>
      </c>
      <c r="E3" s="59" t="str">
        <f>IFERROR(__xludf.DUMMYFUNCTION("""COMPUTED_VALUE"""),"https://scholar.google.com/citations?hl=en&amp;view_op=list_hcore&amp;venue=HSHJIaLyN9IJ.2024")</f>
        <v>https://scholar.google.com/citations?hl=en&amp;view_op=list_hcore&amp;venue=HSHJIaLyN9IJ.2024</v>
      </c>
      <c r="I3" s="60" t="str">
        <f>IFERROR(__xludf.DUMMYFUNCTION("""COMPUTED_VALUE"""),"https://dblp.org/db/conf/uss/index.html")</f>
        <v>https://dblp.org/db/conf/uss/index.html</v>
      </c>
    </row>
    <row r="4">
      <c r="A4" s="58" t="str">
        <f>IFERROR(__xludf.DUMMYFUNCTION("""COMPUTED_VALUE"""),"Top 10")</f>
        <v>Top 10</v>
      </c>
      <c r="B4" s="121" t="str">
        <f>IFERROR(__xludf.DUMMYFUNCTION("""COMPUTED_VALUE"""),"ACM CCS")</f>
        <v>ACM CCS</v>
      </c>
      <c r="C4" s="121" t="str">
        <f>IFERROR(__xludf.DUMMYFUNCTION("""COMPUTED_VALUE"""),"ACM Symposium on Computer and Communications Security")</f>
        <v>ACM Symposium on Computer and Communications Security</v>
      </c>
      <c r="D4" s="122">
        <f>IFERROR(__xludf.DUMMYFUNCTION("""COMPUTED_VALUE"""),92.0)</f>
        <v>92</v>
      </c>
      <c r="E4" s="59" t="str">
        <f>IFERROR(__xludf.DUMMYFUNCTION("""COMPUTED_VALUE"""),"https://scholar.google.com/citations?hl=en&amp;view_op=list_hcore&amp;venue=Pg42P_rbavwJ.2024")</f>
        <v>https://scholar.google.com/citations?hl=en&amp;view_op=list_hcore&amp;venue=Pg42P_rbavwJ.2024</v>
      </c>
      <c r="F4" t="str">
        <f>IFERROR(__xludf.DUMMYFUNCTION("""COMPUTED_VALUE"""),"CCS")</f>
        <v>CCS</v>
      </c>
      <c r="I4" s="60" t="str">
        <f>IFERROR(__xludf.DUMMYFUNCTION("""COMPUTED_VALUE"""),"https://dblp.org/db/conf/ccs/index.html")</f>
        <v>https://dblp.org/db/conf/ccs/index.html</v>
      </c>
    </row>
    <row r="5">
      <c r="A5" s="58" t="str">
        <f>IFERROR(__xludf.DUMMYFUNCTION("""COMPUTED_VALUE"""),"Top 10")</f>
        <v>Top 10</v>
      </c>
      <c r="B5" s="121" t="str">
        <f>IFERROR(__xludf.DUMMYFUNCTION("""COMPUTED_VALUE"""),"NDSS")</f>
        <v>NDSS</v>
      </c>
      <c r="C5" s="121" t="str">
        <f>IFERROR(__xludf.DUMMYFUNCTION("""COMPUTED_VALUE"""),"Network and Distributed System Security Symposium")</f>
        <v>Network and Distributed System Security Symposium</v>
      </c>
      <c r="D5" s="122">
        <f>IFERROR(__xludf.DUMMYFUNCTION("""COMPUTED_VALUE"""),73.0)</f>
        <v>73</v>
      </c>
      <c r="E5" s="59" t="str">
        <f>IFERROR(__xludf.DUMMYFUNCTION("""COMPUTED_VALUE"""),"https://scholar.google.com/citations?hl=en&amp;view_op=list_hcore&amp;venue=q2FcImd5qbgJ.2024")</f>
        <v>https://scholar.google.com/citations?hl=en&amp;view_op=list_hcore&amp;venue=q2FcImd5qbgJ.2024</v>
      </c>
      <c r="I5" s="60" t="str">
        <f>IFERROR(__xludf.DUMMYFUNCTION("""COMPUTED_VALUE"""),"https://dblp.org/db/conf/ndss/index.html")</f>
        <v>https://dblp.org/db/conf/ndss/index.html</v>
      </c>
    </row>
    <row r="6">
      <c r="A6" s="58" t="str">
        <f>IFERROR(__xludf.DUMMYFUNCTION("""COMPUTED_VALUE"""),"Top 10")</f>
        <v>Top 10</v>
      </c>
      <c r="B6" s="121" t="str">
        <f>IFERROR(__xludf.DUMMYFUNCTION("""COMPUTED_VALUE"""),"EUROCRYPT")</f>
        <v>EUROCRYPT</v>
      </c>
      <c r="C6" s="121" t="str">
        <f>IFERROR(__xludf.DUMMYFUNCTION("""COMPUTED_VALUE"""),"International Conference on Theory and Applications of Cryptographic Techniques")</f>
        <v>International Conference on Theory and Applications of Cryptographic Techniques</v>
      </c>
      <c r="D6" s="122">
        <f>IFERROR(__xludf.DUMMYFUNCTION("""COMPUTED_VALUE"""),63.0)</f>
        <v>63</v>
      </c>
      <c r="E6" s="59" t="str">
        <f>IFERROR(__xludf.DUMMYFUNCTION("""COMPUTED_VALUE"""),"https://scholar.google.com/citations?hl=en&amp;view_op=list_hcore&amp;venue=fsZsNTm7Eh8J.2024")</f>
        <v>https://scholar.google.com/citations?hl=en&amp;view_op=list_hcore&amp;venue=fsZsNTm7Eh8J.2024</v>
      </c>
      <c r="I6" s="60" t="str">
        <f>IFERROR(__xludf.DUMMYFUNCTION("""COMPUTED_VALUE"""),"https://dblp.org/db/conf/eurocrypt/index.html")</f>
        <v>https://dblp.org/db/conf/eurocrypt/index.html</v>
      </c>
    </row>
    <row r="7">
      <c r="A7" s="58" t="str">
        <f>IFERROR(__xludf.DUMMYFUNCTION("""COMPUTED_VALUE"""),"Top 10")</f>
        <v>Top 10</v>
      </c>
      <c r="B7" s="121" t="str">
        <f>IFERROR(__xludf.DUMMYFUNCTION("""COMPUTED_VALUE"""),"CRYPTO")</f>
        <v>CRYPTO</v>
      </c>
      <c r="C7" s="121" t="str">
        <f>IFERROR(__xludf.DUMMYFUNCTION("""COMPUTED_VALUE"""),"International Cryptology Conference")</f>
        <v>International Cryptology Conference</v>
      </c>
      <c r="D7" s="122">
        <f>IFERROR(__xludf.DUMMYFUNCTION("""COMPUTED_VALUE"""),61.0)</f>
        <v>61</v>
      </c>
      <c r="E7" s="59" t="str">
        <f>IFERROR(__xludf.DUMMYFUNCTION("""COMPUTED_VALUE"""),"https://scholar.google.com/citations?hl=en&amp;view_op=list_hcore&amp;venue=nqcB6RwzhMQJ.2024")</f>
        <v>https://scholar.google.com/citations?hl=en&amp;view_op=list_hcore&amp;venue=nqcB6RwzhMQJ.2024</v>
      </c>
      <c r="I7" s="60" t="str">
        <f>IFERROR(__xludf.DUMMYFUNCTION("""COMPUTED_VALUE"""),"https://dblp.org/db/conf/crypto/index.html")</f>
        <v>https://dblp.org/db/conf/crypto/index.html</v>
      </c>
    </row>
    <row r="8">
      <c r="A8" s="58" t="str">
        <f>IFERROR(__xludf.DUMMYFUNCTION("""COMPUTED_VALUE"""),"Top 10")</f>
        <v>Top 10</v>
      </c>
      <c r="B8" s="121" t="str">
        <f>IFERROR(__xludf.DUMMYFUNCTION("""COMPUTED_VALUE"""),"FC")</f>
        <v>FC</v>
      </c>
      <c r="C8" s="121" t="str">
        <f>IFERROR(__xludf.DUMMYFUNCTION("""COMPUTED_VALUE"""),"International Conference on Financial Cryptography and Data Security")</f>
        <v>International Conference on Financial Cryptography and Data Security</v>
      </c>
      <c r="D8" s="122">
        <f>IFERROR(__xludf.DUMMYFUNCTION("""COMPUTED_VALUE"""),47.0)</f>
        <v>47</v>
      </c>
      <c r="E8" s="59" t="str">
        <f>IFERROR(__xludf.DUMMYFUNCTION("""COMPUTED_VALUE"""),"https://scholar.google.com/citations?hl=en&amp;view_op=list_hcore&amp;venue=gVeDacK3aQwJ.2024")</f>
        <v>https://scholar.google.com/citations?hl=en&amp;view_op=list_hcore&amp;venue=gVeDacK3aQwJ.2024</v>
      </c>
      <c r="I8" s="60" t="str">
        <f>IFERROR(__xludf.DUMMYFUNCTION("""COMPUTED_VALUE"""),"https://dblp.org/db/conf/fc/index.html")</f>
        <v>https://dblp.org/db/conf/fc/index.html</v>
      </c>
    </row>
    <row r="9">
      <c r="A9" s="58" t="str">
        <f>IFERROR(__xludf.DUMMYFUNCTION("""COMPUTED_VALUE"""),"Top 10")</f>
        <v>Top 10</v>
      </c>
      <c r="B9" s="121" t="str">
        <f>IFERROR(__xludf.DUMMYFUNCTION("""COMPUTED_VALUE"""),"EuroS&amp;P")</f>
        <v>EuroS&amp;P</v>
      </c>
      <c r="C9" s="123" t="str">
        <f>IFERROR(__xludf.DUMMYFUNCTION("""COMPUTED_VALUE"""),"IEEE European Symposium on Security and Privacy")</f>
        <v>IEEE European Symposium on Security and Privacy</v>
      </c>
      <c r="D9" s="122">
        <f>IFERROR(__xludf.DUMMYFUNCTION("""COMPUTED_VALUE"""),47.0)</f>
        <v>47</v>
      </c>
      <c r="E9" s="59" t="str">
        <f>IFERROR(__xludf.DUMMYFUNCTION("""COMPUTED_VALUE"""),"https://scholar.google.com/citations?hl=en&amp;view_op=list_hcore&amp;venue=GoSvm-d8gKoJ.2024")</f>
        <v>https://scholar.google.com/citations?hl=en&amp;view_op=list_hcore&amp;venue=GoSvm-d8gKoJ.2024</v>
      </c>
    </row>
    <row r="10">
      <c r="A10" s="58" t="str">
        <f>IFERROR(__xludf.DUMMYFUNCTION("""COMPUTED_VALUE"""),"Top 10")</f>
        <v>Top 10</v>
      </c>
      <c r="B10" s="121" t="str">
        <f>IFERROR(__xludf.DUMMYFUNCTION("""COMPUTED_VALUE"""),"ASIACRYPT")</f>
        <v>ASIACRYPT</v>
      </c>
      <c r="C10" s="123" t="str">
        <f>IFERROR(__xludf.DUMMYFUNCTION("""COMPUTED_VALUE"""),"International Conference on The Theory and Application of Cryptology and Information Security")</f>
        <v>International Conference on The Theory and Application of Cryptology and Information Security</v>
      </c>
      <c r="D10" s="122">
        <f>IFERROR(__xludf.DUMMYFUNCTION("""COMPUTED_VALUE"""),46.0)</f>
        <v>46</v>
      </c>
      <c r="E10" s="59" t="str">
        <f>IFERROR(__xludf.DUMMYFUNCTION("""COMPUTED_VALUE"""),"https://scholar.google.com/citations?hl=en&amp;view_op=list_hcore&amp;venue=hxrvQsnJSDMJ.2024")</f>
        <v>https://scholar.google.com/citations?hl=en&amp;view_op=list_hcore&amp;venue=hxrvQsnJSDMJ.2024</v>
      </c>
      <c r="G10" t="str">
        <f>IFERROR(__xludf.DUMMYFUNCTION("""COMPUTED_VALUE"""),"Annual International Conference on the Theory and Applications of Cryptology and Information Security")</f>
        <v>Annual International Conference on the Theory and Applications of Cryptology and Information Security</v>
      </c>
      <c r="I10" s="60" t="str">
        <f>IFERROR(__xludf.DUMMYFUNCTION("""COMPUTED_VALUE"""),"https://dblp.org/db/conf/asiacrypt/index.html")</f>
        <v>https://dblp.org/db/conf/asiacrypt/index.html</v>
      </c>
    </row>
    <row r="11">
      <c r="A11" s="58" t="str">
        <f>IFERROR(__xludf.DUMMYFUNCTION("""COMPUTED_VALUE"""),"Top 10")</f>
        <v>Top 10</v>
      </c>
      <c r="B11" s="121" t="str">
        <f>IFERROR(__xludf.DUMMYFUNCTION("""COMPUTED_VALUE"""),"ASIACCS")</f>
        <v>ASIACCS</v>
      </c>
      <c r="C11" s="123" t="str">
        <f>IFERROR(__xludf.DUMMYFUNCTION("""COMPUTED_VALUE"""),"ACM Symposium on Information, Computer and Communications Security")</f>
        <v>ACM Symposium on Information, Computer and Communications Security</v>
      </c>
      <c r="D11" s="122">
        <f>IFERROR(__xludf.DUMMYFUNCTION("""COMPUTED_VALUE"""),39.0)</f>
        <v>39</v>
      </c>
      <c r="E11" s="59" t="str">
        <f>IFERROR(__xludf.DUMMYFUNCTION("""COMPUTED_VALUE"""),"https://scholar.google.com/citations?hl=en&amp;view_op=list_hcore&amp;venue=3VLtGPwkq54J.2024")</f>
        <v>https://scholar.google.com/citations?hl=en&amp;view_op=list_hcore&amp;venue=3VLtGPwkq54J.2024</v>
      </c>
      <c r="G11" t="str">
        <f>IFERROR(__xludf.DUMMYFUNCTION("""COMPUTED_VALUE"""),"ACM ASIA Symposium on Information, Computer and Communications Security")</f>
        <v>ACM ASIA Symposium on Information, Computer and Communications Security</v>
      </c>
      <c r="I11" s="60" t="str">
        <f>IFERROR(__xludf.DUMMYFUNCTION("""COMPUTED_VALUE"""),"https://dblp.org/db/conf/asiaccs/index.html")</f>
        <v>https://dblp.org/db/conf/asiaccs/index.html</v>
      </c>
    </row>
    <row r="12">
      <c r="A12" s="65" t="str">
        <f>IFERROR(__xludf.DUMMYFUNCTION("""COMPUTED_VALUE"""),"Top 20")</f>
        <v>Top 20</v>
      </c>
      <c r="B12" s="121" t="str">
        <f>IFERROR(__xludf.DUMMYFUNCTION("""COMPUTED_VALUE"""),"SOUPS")</f>
        <v>SOUPS</v>
      </c>
      <c r="C12" s="121" t="str">
        <f>IFERROR(__xludf.DUMMYFUNCTION("""COMPUTED_VALUE"""),"Symposium On Usable Privacy and Security")</f>
        <v>Symposium On Usable Privacy and Security</v>
      </c>
      <c r="D12" s="122">
        <f>IFERROR(__xludf.DUMMYFUNCTION("""COMPUTED_VALUE"""),38.0)</f>
        <v>38</v>
      </c>
      <c r="E12" s="59" t="str">
        <f>IFERROR(__xludf.DUMMYFUNCTION("""COMPUTED_VALUE"""),"https://scholar.google.com/citations?hl=en&amp;view_op=list_hcore&amp;venue=d6VxAyLWqWgJ.2024")</f>
        <v>https://scholar.google.com/citations?hl=en&amp;view_op=list_hcore&amp;venue=d6VxAyLWqWgJ.2024</v>
      </c>
      <c r="I12" s="60" t="str">
        <f>IFERROR(__xludf.DUMMYFUNCTION("""COMPUTED_VALUE"""),"https://dblp.org/db/conf/soups/index.html")</f>
        <v>https://dblp.org/db/conf/soups/index.html</v>
      </c>
    </row>
    <row r="13">
      <c r="A13" s="65" t="str">
        <f>IFERROR(__xludf.DUMMYFUNCTION("""COMPUTED_VALUE"""),"Top 20")</f>
        <v>Top 20</v>
      </c>
      <c r="B13" s="121" t="str">
        <f>IFERROR(__xludf.DUMMYFUNCTION("""COMPUTED_VALUE"""),"ACSAC")</f>
        <v>ACSAC</v>
      </c>
      <c r="C13" s="124" t="str">
        <f>IFERROR(__xludf.DUMMYFUNCTION("""COMPUTED_VALUE"""),"Computer Security Applications Conference")</f>
        <v>Computer Security Applications Conference</v>
      </c>
      <c r="D13" s="122">
        <f>IFERROR(__xludf.DUMMYFUNCTION("""COMPUTED_VALUE"""),36.0)</f>
        <v>36</v>
      </c>
      <c r="E13" s="59" t="str">
        <f>IFERROR(__xludf.DUMMYFUNCTION("""COMPUTED_VALUE"""),"https://scholar.google.com/citations?hl=en&amp;view_op=list_hcore&amp;venue=88oopSfS28MJ.2024")</f>
        <v>https://scholar.google.com/citations?hl=en&amp;view_op=list_hcore&amp;venue=88oopSfS28MJ.2024</v>
      </c>
      <c r="I13" s="60" t="str">
        <f>IFERROR(__xludf.DUMMYFUNCTION("""COMPUTED_VALUE"""),"https://dblp.org/db/conf/acsac/index.html")</f>
        <v>https://dblp.org/db/conf/acsac/index.html</v>
      </c>
    </row>
    <row r="14">
      <c r="A14" s="65" t="str">
        <f>IFERROR(__xludf.DUMMYFUNCTION("""COMPUTED_VALUE"""),"Top 20")</f>
        <v>Top 20</v>
      </c>
      <c r="B14" s="121" t="str">
        <f>IFERROR(__xludf.DUMMYFUNCTION("""COMPUTED_VALUE"""),"PKC")</f>
        <v>PKC</v>
      </c>
      <c r="C14" s="123" t="str">
        <f>IFERROR(__xludf.DUMMYFUNCTION("""COMPUTED_VALUE"""),"International Conference on Practice and Theory in Public Key Cryptography")</f>
        <v>International Conference on Practice and Theory in Public Key Cryptography</v>
      </c>
      <c r="D14" s="122">
        <f>IFERROR(__xludf.DUMMYFUNCTION("""COMPUTED_VALUE"""),35.0)</f>
        <v>35</v>
      </c>
      <c r="E14" s="59" t="str">
        <f>IFERROR(__xludf.DUMMYFUNCTION("""COMPUTED_VALUE"""),"https://scholar.google.com/citations?hl=en&amp;view_op=list_hcore&amp;venue=6gqvYwOFvq0J.2024")</f>
        <v>https://scholar.google.com/citations?hl=en&amp;view_op=list_hcore&amp;venue=6gqvYwOFvq0J.2024</v>
      </c>
      <c r="I14" s="60" t="str">
        <f>IFERROR(__xludf.DUMMYFUNCTION("""COMPUTED_VALUE"""),"https://dblp.org/db/conf/pkc/index.html")</f>
        <v>https://dblp.org/db/conf/pkc/index.html</v>
      </c>
    </row>
    <row r="15">
      <c r="A15" s="65" t="str">
        <f>IFERROR(__xludf.DUMMYFUNCTION("""COMPUTED_VALUE"""),"Top 20")</f>
        <v>Top 20</v>
      </c>
      <c r="B15" s="121" t="str">
        <f>IFERROR(__xludf.DUMMYFUNCTION("""COMPUTED_VALUE"""),"ARES")</f>
        <v>ARES</v>
      </c>
      <c r="C15" s="123" t="str">
        <f>IFERROR(__xludf.DUMMYFUNCTION("""COMPUTED_VALUE"""),"International Conference on Availability, Reliability and Security")</f>
        <v>International Conference on Availability, Reliability and Security</v>
      </c>
      <c r="D15" s="122">
        <f>IFERROR(__xludf.DUMMYFUNCTION("""COMPUTED_VALUE"""),34.0)</f>
        <v>34</v>
      </c>
      <c r="E15" s="59" t="str">
        <f>IFERROR(__xludf.DUMMYFUNCTION("""COMPUTED_VALUE"""),"https://scholar.google.com/citations?hl=en&amp;view_op=list_hcore&amp;venue=GIrj2BSjfiwJ.2024")</f>
        <v>https://scholar.google.com/citations?hl=en&amp;view_op=list_hcore&amp;venue=GIrj2BSjfiwJ.2024</v>
      </c>
      <c r="I15" s="60" t="str">
        <f>IFERROR(__xludf.DUMMYFUNCTION("""COMPUTED_VALUE"""),"https://dblp.org/db/conf/IEEEares/index.html")</f>
        <v>https://dblp.org/db/conf/IEEEares/index.html</v>
      </c>
    </row>
    <row r="16">
      <c r="A16" s="65" t="str">
        <f>IFERROR(__xludf.DUMMYFUNCTION("""COMPUTED_VALUE"""),"Top 20")</f>
        <v>Top 20</v>
      </c>
      <c r="B16" s="121" t="str">
        <f>IFERROR(__xludf.DUMMYFUNCTION("""COMPUTED_VALUE"""),"CSF")</f>
        <v>CSF</v>
      </c>
      <c r="C16" s="123" t="str">
        <f>IFERROR(__xludf.DUMMYFUNCTION("""COMPUTED_VALUE"""),"IEEE Computer Security Foundations Symposium")</f>
        <v>IEEE Computer Security Foundations Symposium</v>
      </c>
      <c r="D16" s="122">
        <f>IFERROR(__xludf.DUMMYFUNCTION("""COMPUTED_VALUE"""),32.0)</f>
        <v>32</v>
      </c>
      <c r="E16" s="59" t="str">
        <f>IFERROR(__xludf.DUMMYFUNCTION("""COMPUTED_VALUE"""),"https://scholar.google.com/citations?hl=en&amp;view_op=list_hcore&amp;venue=5Sz4yUnI16AJ.2020 (https://scholar.google.com/scholar?hl=pt-BR&amp;as_sdt=0%2C5&amp;as_ylo=2020&amp;q=IEEE+Computer+Security+Foundations+Symposium&amp;btnG=)")</f>
        <v>https://scholar.google.com/citations?hl=en&amp;view_op=list_hcore&amp;venue=5Sz4yUnI16AJ.2020 (https://scholar.google.com/scholar?hl=pt-BR&amp;as_sdt=0%2C5&amp;as_ylo=2020&amp;q=IEEE+Computer+Security+Foundations+Symposium&amp;btnG=)</v>
      </c>
      <c r="I16" s="60" t="str">
        <f>IFERROR(__xludf.DUMMYFUNCTION("""COMPUTED_VALUE"""),"https://dblp.org/db/conf/csfw/index.html")</f>
        <v>https://dblp.org/db/conf/csfw/index.html</v>
      </c>
    </row>
    <row r="17">
      <c r="A17" s="65" t="str">
        <f>IFERROR(__xludf.DUMMYFUNCTION("""COMPUTED_VALUE"""),"Top 20")</f>
        <v>Top 20</v>
      </c>
      <c r="B17" s="121" t="str">
        <f>IFERROR(__xludf.DUMMYFUNCTION("""COMPUTED_VALUE"""),"TCC")</f>
        <v>TCC</v>
      </c>
      <c r="C17" s="121" t="str">
        <f>IFERROR(__xludf.DUMMYFUNCTION("""COMPUTED_VALUE"""),"Theory of Cryptography")</f>
        <v>Theory of Cryptography</v>
      </c>
      <c r="D17" s="122">
        <f>IFERROR(__xludf.DUMMYFUNCTION("""COMPUTED_VALUE"""),31.0)</f>
        <v>31</v>
      </c>
      <c r="E17" s="59" t="str">
        <f>IFERROR(__xludf.DUMMYFUNCTION("""COMPUTED_VALUE"""),"https://scholar.google.com/citations?hl=en&amp;view_op=list_hcore&amp;venue=JP81m6yJpiEJ.2024")</f>
        <v>https://scholar.google.com/citations?hl=en&amp;view_op=list_hcore&amp;venue=JP81m6yJpiEJ.2024</v>
      </c>
      <c r="I17" s="60" t="str">
        <f>IFERROR(__xludf.DUMMYFUNCTION("""COMPUTED_VALUE"""),"https://dblp.org/db/conf/tcc/index.html")</f>
        <v>https://dblp.org/db/conf/tcc/index.html</v>
      </c>
    </row>
    <row r="18">
      <c r="A18" s="65" t="str">
        <f>IFERROR(__xludf.DUMMYFUNCTION("""COMPUTED_VALUE"""),"Top 20")</f>
        <v>Top 20</v>
      </c>
      <c r="B18" s="121" t="str">
        <f>IFERROR(__xludf.DUMMYFUNCTION("""COMPUTED_VALUE"""),"TrustCom")</f>
        <v>TrustCom</v>
      </c>
      <c r="C18" s="121" t="str">
        <f>IFERROR(__xludf.DUMMYFUNCTION("""COMPUTED_VALUE"""),"IEEE International Conference on Trust, Security and Privacy in Computing and Communications")</f>
        <v>IEEE International Conference on Trust, Security and Privacy in Computing and Communications</v>
      </c>
      <c r="D18" s="122">
        <f>IFERROR(__xludf.DUMMYFUNCTION("""COMPUTED_VALUE"""),29.0)</f>
        <v>29</v>
      </c>
      <c r="E18" s="59" t="str">
        <f>IFERROR(__xludf.DUMMYFUNCTION("""COMPUTED_VALUE"""),"https://scholar.google.com/citations?hl=en&amp;view_op=list_hcore&amp;venue=eMr22KXtlXcJ.2024")</f>
        <v>https://scholar.google.com/citations?hl=en&amp;view_op=list_hcore&amp;venue=eMr22KXtlXcJ.2024</v>
      </c>
      <c r="G18" t="str">
        <f>IFERROR(__xludf.DUMMYFUNCTION("""COMPUTED_VALUE"""),"International Conference on Trust, Security and Privacy in Computing and Communications")</f>
        <v>International Conference on Trust, Security and Privacy in Computing and Communications</v>
      </c>
      <c r="I18" s="60" t="str">
        <f>IFERROR(__xludf.DUMMYFUNCTION("""COMPUTED_VALUE"""),"https://dblp.org/db/conf/trustcom/index.html")</f>
        <v>https://dblp.org/db/conf/trustcom/index.html</v>
      </c>
    </row>
    <row r="19">
      <c r="A19" s="65" t="str">
        <f>IFERROR(__xludf.DUMMYFUNCTION("""COMPUTED_VALUE"""),"Top 20")</f>
        <v>Top 20</v>
      </c>
      <c r="B19" s="121" t="str">
        <f>IFERROR(__xludf.DUMMYFUNCTION("""COMPUTED_VALUE"""),"ACNS")</f>
        <v>ACNS</v>
      </c>
      <c r="C19" s="121" t="str">
        <f>IFERROR(__xludf.DUMMYFUNCTION("""COMPUTED_VALUE"""),"Applied Cryptography and Network Security")</f>
        <v>Applied Cryptography and Network Security</v>
      </c>
      <c r="D19" s="122">
        <f>IFERROR(__xludf.DUMMYFUNCTION("""COMPUTED_VALUE"""),28.0)</f>
        <v>28</v>
      </c>
      <c r="E19" s="59" t="str">
        <f>IFERROR(__xludf.DUMMYFUNCTION("""COMPUTED_VALUE"""),"https://scholar.google.com/citations?hl=en&amp;view_op=list_hcore&amp;venue=uX6tRrNG0lQJ.2024")</f>
        <v>https://scholar.google.com/citations?hl=en&amp;view_op=list_hcore&amp;venue=uX6tRrNG0lQJ.2024</v>
      </c>
      <c r="I19" s="60" t="str">
        <f>IFERROR(__xludf.DUMMYFUNCTION("""COMPUTED_VALUE"""),"https://dblp.org/db/conf/acns/index.html")</f>
        <v>https://dblp.org/db/conf/acns/index.html</v>
      </c>
    </row>
    <row r="20">
      <c r="A20" s="65" t="str">
        <f>IFERROR(__xludf.DUMMYFUNCTION("""COMPUTED_VALUE"""),"Top 20")</f>
        <v>Top 20</v>
      </c>
      <c r="B20" s="121" t="str">
        <f>IFERROR(__xludf.DUMMYFUNCTION("""COMPUTED_VALUE"""),"PETS")</f>
        <v>PETS</v>
      </c>
      <c r="C20" s="121" t="str">
        <f>IFERROR(__xludf.DUMMYFUNCTION("""COMPUTED_VALUE"""),"Proceedings on Privacy Enhancing Technologies")</f>
        <v>Proceedings on Privacy Enhancing Technologies</v>
      </c>
      <c r="D20" s="122">
        <f>IFERROR(__xludf.DUMMYFUNCTION("""COMPUTED_VALUE"""),12.0)</f>
        <v>12</v>
      </c>
      <c r="E20" s="59" t="str">
        <f>IFERROR(__xludf.DUMMYFUNCTION("""COMPUTED_VALUE"""),"https://scholar.google.com/citations?hl=en&amp;view_op=list_hcore&amp;venue=JXbjzvN-escJ.2020 (https://scholar.google.es/scholar?hl=pt-BR&amp;as_sdt=0%2C5&amp;as_ylo=2020&amp;q=%22Privacy+Enhancing+Technologies+Symposium%22&amp;btnG=)")</f>
        <v>https://scholar.google.com/citations?hl=en&amp;view_op=list_hcore&amp;venue=JXbjzvN-escJ.2020 (https://scholar.google.es/scholar?hl=pt-BR&amp;as_sdt=0%2C5&amp;as_ylo=2020&amp;q=%22Privacy+Enhancing+Technologies+Symposium%22&amp;btnG=)</v>
      </c>
      <c r="G20" t="str">
        <f>IFERROR(__xludf.DUMMYFUNCTION("""COMPUTED_VALUE"""),"Privacy Enhancing Technologies Symposium")</f>
        <v>Privacy Enhancing Technologies Symposium</v>
      </c>
      <c r="I20" s="60" t="str">
        <f>IFERROR(__xludf.DUMMYFUNCTION("""COMPUTED_VALUE"""),"https://dblp.org/db/journals/popets/index.html")</f>
        <v>https://dblp.org/db/journals/popets/index.html</v>
      </c>
    </row>
    <row r="21">
      <c r="A21" s="65" t="str">
        <f>IFERROR(__xludf.DUMMYFUNCTION("""COMPUTED_VALUE"""),"Top 20")</f>
        <v>Top 20</v>
      </c>
      <c r="B21" s="121" t="str">
        <f>IFERROR(__xludf.DUMMYFUNCTION("""COMPUTED_VALUE"""),"SBSeg")</f>
        <v>SBSeg</v>
      </c>
      <c r="C21" s="121" t="str">
        <f>IFERROR(__xludf.DUMMYFUNCTION("""COMPUTED_VALUE"""),"Simpósio Brasileiro em Segurança da Informação e de Sistemas Computacionais")</f>
        <v>Simpósio Brasileiro em Segurança da Informação e de Sistemas Computacionais</v>
      </c>
      <c r="D21" s="122">
        <f>IFERROR(__xludf.DUMMYFUNCTION("""COMPUTED_VALUE"""),4.0)</f>
        <v>4</v>
      </c>
      <c r="E21" s="59" t="str">
        <f>IFERROR(__xludf.DUMMYFUNCTION("""COMPUTED_VALUE"""),"https://scholar.google.com/citations?hl=en&amp;view_op=list_hcore&amp;venue=Dsyl66B8iM0J.2024. O SBSeg é o principal evento de Segurança da informação e Sistemas Computacionais do país.")</f>
        <v>https://scholar.google.com/citations?hl=en&amp;view_op=list_hcore&amp;venue=Dsyl66B8iM0J.2024. O SBSeg é o principal evento de Segurança da informação e Sistemas Computacionais do país.</v>
      </c>
      <c r="G21" t="str">
        <f>IFERROR(__xludf.DUMMYFUNCTION("""COMPUTED_VALUE"""),"Simpósio Brasileiro de Cibersegurança ")</f>
        <v>Simpósio Brasileiro de Cibersegurança </v>
      </c>
      <c r="J21" s="60" t="str">
        <f>IFERROR(__xludf.DUMMYFUNCTION("""COMPUTED_VALUE"""),"https://sol.sbc.org.br/index.php/sbseg")</f>
        <v>https://sol.sbc.org.br/index.php/sbseg</v>
      </c>
    </row>
    <row r="22">
      <c r="A22" s="68" t="str">
        <f>IFERROR(__xludf.DUMMYFUNCTION("""COMPUTED_VALUE"""),"Eventos da Área")</f>
        <v>Eventos da Área</v>
      </c>
      <c r="B22" s="121" t="str">
        <f>IFERROR(__xludf.DUMMYFUNCTION("""COMPUTED_VALUE"""),"Blockchain")</f>
        <v>Blockchain</v>
      </c>
      <c r="C22" s="121" t="str">
        <f>IFERROR(__xludf.DUMMYFUNCTION("""COMPUTED_VALUE"""),"IEEE International Conference on Blockchain")</f>
        <v>IEEE International Conference on Blockchain</v>
      </c>
      <c r="D22" s="122">
        <f>IFERROR(__xludf.DUMMYFUNCTION("""COMPUTED_VALUE"""),42.0)</f>
        <v>42</v>
      </c>
      <c r="E22" s="59" t="str">
        <f>IFERROR(__xludf.DUMMYFUNCTION("""COMPUTED_VALUE"""),"https://scholar.google.es/citations?hl=en&amp;view_op=list_hcore&amp;venue=DGN3r9u7HNQJ.2024")</f>
        <v>https://scholar.google.es/citations?hl=en&amp;view_op=list_hcore&amp;venue=DGN3r9u7HNQJ.2024</v>
      </c>
    </row>
    <row r="23">
      <c r="A23" s="68" t="str">
        <f>IFERROR(__xludf.DUMMYFUNCTION("""COMPUTED_VALUE"""),"Eventos da Área")</f>
        <v>Eventos da Área</v>
      </c>
      <c r="B23" s="121" t="str">
        <f>IFERROR(__xludf.DUMMYFUNCTION("""COMPUTED_VALUE"""),"ICBC")</f>
        <v>ICBC</v>
      </c>
      <c r="C23" s="121" t="str">
        <f>IFERROR(__xludf.DUMMYFUNCTION("""COMPUTED_VALUE"""),"IEEE International Conference on Blockchain and Cryptocurrency")</f>
        <v>IEEE International Conference on Blockchain and Cryptocurrency</v>
      </c>
      <c r="D23" s="122">
        <f>IFERROR(__xludf.DUMMYFUNCTION("""COMPUTED_VALUE"""),39.0)</f>
        <v>39</v>
      </c>
      <c r="E23" s="59" t="str">
        <f>IFERROR(__xludf.DUMMYFUNCTION("""COMPUTED_VALUE"""),"https://scholar.google.es/citations?hl=en&amp;view_op=list_hcore&amp;venue=Hh3XGFymILkJ.2024")</f>
        <v>https://scholar.google.es/citations?hl=en&amp;view_op=list_hcore&amp;venue=Hh3XGFymILkJ.2024</v>
      </c>
    </row>
    <row r="24">
      <c r="A24" s="68" t="str">
        <f>IFERROR(__xludf.DUMMYFUNCTION("""COMPUTED_VALUE"""),"Eventos da Área")</f>
        <v>Eventos da Área</v>
      </c>
      <c r="B24" s="121" t="str">
        <f>IFERROR(__xludf.DUMMYFUNCTION("""COMPUTED_VALUE"""),"RAID")</f>
        <v>RAID</v>
      </c>
      <c r="C24" s="121" t="str">
        <f>IFERROR(__xludf.DUMMYFUNCTION("""COMPUTED_VALUE"""),"International Symposium on Research in Attacks, Intrusions, and Defenses")</f>
        <v>International Symposium on Research in Attacks, Intrusions, and Defenses</v>
      </c>
      <c r="D24" s="122">
        <f>IFERROR(__xludf.DUMMYFUNCTION("""COMPUTED_VALUE"""),28.0)</f>
        <v>28</v>
      </c>
      <c r="E24" s="59" t="str">
        <f>IFERROR(__xludf.DUMMYFUNCTION("""COMPUTED_VALUE"""),"https://scholar.google.com/citations?hl=en&amp;view_op=list_hcore&amp;venue=826ERjda8dUJ.2024")</f>
        <v>https://scholar.google.com/citations?hl=en&amp;view_op=list_hcore&amp;venue=826ERjda8dUJ.2024</v>
      </c>
      <c r="I24" s="60" t="str">
        <f>IFERROR(__xludf.DUMMYFUNCTION("""COMPUTED_VALUE"""),"https://dblp.org/db/conf/raid/index.html")</f>
        <v>https://dblp.org/db/conf/raid/index.html</v>
      </c>
    </row>
    <row r="25">
      <c r="A25" s="68" t="str">
        <f>IFERROR(__xludf.DUMMYFUNCTION("""COMPUTED_VALUE"""),"Eventos da Área")</f>
        <v>Eventos da Área</v>
      </c>
      <c r="B25" s="121" t="str">
        <f>IFERROR(__xludf.DUMMYFUNCTION("""COMPUTED_VALUE"""),"WISEC")</f>
        <v>WISEC</v>
      </c>
      <c r="C25" s="121" t="str">
        <f>IFERROR(__xludf.DUMMYFUNCTION("""COMPUTED_VALUE"""),"Wireless Network Security")</f>
        <v>Wireless Network Security</v>
      </c>
      <c r="D25" s="122">
        <f>IFERROR(__xludf.DUMMYFUNCTION("""COMPUTED_VALUE"""),26.0)</f>
        <v>26</v>
      </c>
      <c r="E25" s="59" t="str">
        <f>IFERROR(__xludf.DUMMYFUNCTION("""COMPUTED_VALUE"""),"https://scholar.google.com/citations?hl=en&amp;view_op=list_hcore&amp;venue=JDO_KUA4CYMJ.2024")</f>
        <v>https://scholar.google.com/citations?hl=en&amp;view_op=list_hcore&amp;venue=JDO_KUA4CYMJ.2024</v>
      </c>
      <c r="G25" t="str">
        <f>IFERROR(__xludf.DUMMYFUNCTION("""COMPUTED_VALUE"""),"ACM Conference on Security &amp; Privacy in Wireless and Mobile Networks")</f>
        <v>ACM Conference on Security &amp; Privacy in Wireless and Mobile Networks</v>
      </c>
      <c r="I25" s="60" t="str">
        <f>IFERROR(__xludf.DUMMYFUNCTION("""COMPUTED_VALUE"""),"https://dblp.org/db/conf/wisec/index.html")</f>
        <v>https://dblp.org/db/conf/wisec/index.html</v>
      </c>
    </row>
    <row r="26">
      <c r="A26" s="68" t="str">
        <f>IFERROR(__xludf.DUMMYFUNCTION("""COMPUTED_VALUE"""),"Eventos da Área")</f>
        <v>Eventos da Área</v>
      </c>
      <c r="B26" s="121" t="str">
        <f>IFERROR(__xludf.DUMMYFUNCTION("""COMPUTED_VALUE"""),"HOST")</f>
        <v>HOST</v>
      </c>
      <c r="C26" s="121" t="str">
        <f>IFERROR(__xludf.DUMMYFUNCTION("""COMPUTED_VALUE"""),"IEEE International Symposium on Hardware-Oriented Security and Trust")</f>
        <v>IEEE International Symposium on Hardware-Oriented Security and Trust</v>
      </c>
      <c r="D26" s="122">
        <f>IFERROR(__xludf.DUMMYFUNCTION("""COMPUTED_VALUE"""),25.0)</f>
        <v>25</v>
      </c>
      <c r="E26" s="59" t="str">
        <f>IFERROR(__xludf.DUMMYFUNCTION("""COMPUTED_VALUE"""),"https://scholar.google.com/citations?hl=en&amp;view_op=list_hcore&amp;venue=_3T_r4GbfNcJ.2024")</f>
        <v>https://scholar.google.com/citations?hl=en&amp;view_op=list_hcore&amp;venue=_3T_r4GbfNcJ.2024</v>
      </c>
      <c r="G26" t="str">
        <f>IFERROR(__xludf.DUMMYFUNCTION("""COMPUTED_VALUE"""),"IEEE International Symposium on Hardware Oriented Security and Trust")</f>
        <v>IEEE International Symposium on Hardware Oriented Security and Trust</v>
      </c>
      <c r="I26" s="60" t="str">
        <f>IFERROR(__xludf.DUMMYFUNCTION("""COMPUTED_VALUE"""),"https://dblp.org/db/conf/host/index.html")</f>
        <v>https://dblp.org/db/conf/host/index.html</v>
      </c>
    </row>
    <row r="27">
      <c r="A27" s="68" t="str">
        <f>IFERROR(__xludf.DUMMYFUNCTION("""COMPUTED_VALUE"""),"Eventos da Área")</f>
        <v>Eventos da Área</v>
      </c>
      <c r="B27" s="121" t="str">
        <f>IFERROR(__xludf.DUMMYFUNCTION("""COMPUTED_VALUE"""),"CNS")</f>
        <v>CNS</v>
      </c>
      <c r="C27" s="121" t="str">
        <f>IFERROR(__xludf.DUMMYFUNCTION("""COMPUTED_VALUE"""),"IEEE Conference on Communications and Network Security")</f>
        <v>IEEE Conference on Communications and Network Security</v>
      </c>
      <c r="D27" s="122">
        <f>IFERROR(__xludf.DUMMYFUNCTION("""COMPUTED_VALUE"""),24.0)</f>
        <v>24</v>
      </c>
      <c r="E27" s="59" t="str">
        <f>IFERROR(__xludf.DUMMYFUNCTION("""COMPUTED_VALUE"""),"https://scholar.google.com/citations?hl=en&amp;view_op=list_hcore&amp;venue=nZuTYevUj1wJ.2024")</f>
        <v>https://scholar.google.com/citations?hl=en&amp;view_op=list_hcore&amp;venue=nZuTYevUj1wJ.2024</v>
      </c>
      <c r="I27" s="60" t="str">
        <f>IFERROR(__xludf.DUMMYFUNCTION("""COMPUTED_VALUE"""),"https://dblp.org/db/conf/cns/index.html")</f>
        <v>https://dblp.org/db/conf/cns/index.html</v>
      </c>
    </row>
    <row r="28">
      <c r="A28" s="68" t="str">
        <f>IFERROR(__xludf.DUMMYFUNCTION("""COMPUTED_VALUE"""),"Eventos da Área")</f>
        <v>Eventos da Área</v>
      </c>
      <c r="B28" s="121" t="str">
        <f>IFERROR(__xludf.DUMMYFUNCTION("""COMPUTED_VALUE"""),"CODASPY")</f>
        <v>CODASPY</v>
      </c>
      <c r="C28" s="121" t="str">
        <f>IFERROR(__xludf.DUMMYFUNCTION("""COMPUTED_VALUE"""),"ACM Conference on Data and Application Security and Privacy")</f>
        <v>ACM Conference on Data and Application Security and Privacy</v>
      </c>
      <c r="D28" s="122">
        <f>IFERROR(__xludf.DUMMYFUNCTION("""COMPUTED_VALUE"""),23.0)</f>
        <v>23</v>
      </c>
      <c r="E28" s="59" t="str">
        <f>IFERROR(__xludf.DUMMYFUNCTION("""COMPUTED_VALUE"""),"https://scholar.google.com/citations?hl=en&amp;view_op=list_hcore&amp;venue=LWRwHw7mGBMJ.2024")</f>
        <v>https://scholar.google.com/citations?hl=en&amp;view_op=list_hcore&amp;venue=LWRwHw7mGBMJ.2024</v>
      </c>
      <c r="I28" s="60" t="str">
        <f>IFERROR(__xludf.DUMMYFUNCTION("""COMPUTED_VALUE"""),"https://dblp.org/db/conf/codaspy/index.html")</f>
        <v>https://dblp.org/db/conf/codaspy/index.html</v>
      </c>
    </row>
    <row r="29">
      <c r="A29" s="68" t="str">
        <f>IFERROR(__xludf.DUMMYFUNCTION("""COMPUTED_VALUE"""),"Eventos da Área")</f>
        <v>Eventos da Área</v>
      </c>
      <c r="B29" s="121" t="str">
        <f>IFERROR(__xludf.DUMMYFUNCTION("""COMPUTED_VALUE"""),"SAC")</f>
        <v>SAC</v>
      </c>
      <c r="C29" s="121" t="str">
        <f>IFERROR(__xludf.DUMMYFUNCTION("""COMPUTED_VALUE"""),"International Conference on Selected Areas in Cryptography")</f>
        <v>International Conference on Selected Areas in Cryptography</v>
      </c>
      <c r="D29" s="122">
        <f>IFERROR(__xludf.DUMMYFUNCTION("""COMPUTED_VALUE"""),21.0)</f>
        <v>21</v>
      </c>
      <c r="E29" s="59" t="str">
        <f>IFERROR(__xludf.DUMMYFUNCTION("""COMPUTED_VALUE"""),"https://scholar.google.com/citations?hl=en&amp;view_op=list_hcore&amp;venue=8C-rTF6UiesJ.2024")</f>
        <v>https://scholar.google.com/citations?hl=en&amp;view_op=list_hcore&amp;venue=8C-rTF6UiesJ.2024</v>
      </c>
      <c r="F29" t="str">
        <f>IFERROR(__xludf.DUMMYFUNCTION("""COMPUTED_VALUE"""),"SACRYPT")</f>
        <v>SACRYPT</v>
      </c>
      <c r="G29" t="str">
        <f>IFERROR(__xludf.DUMMYFUNCTION("""COMPUTED_VALUE"""),"International Conference on Selected Areas in Cryptography")</f>
        <v>International Conference on Selected Areas in Cryptography</v>
      </c>
      <c r="I29" s="60" t="str">
        <f>IFERROR(__xludf.DUMMYFUNCTION("""COMPUTED_VALUE"""),"https://dblp.org/db/conf/sacrypt/index.html")</f>
        <v>https://dblp.org/db/conf/sacrypt/index.html</v>
      </c>
    </row>
    <row r="30">
      <c r="A30" s="68" t="str">
        <f>IFERROR(__xludf.DUMMYFUNCTION("""COMPUTED_VALUE"""),"Eventos da Área")</f>
        <v>Eventos da Área</v>
      </c>
      <c r="B30" s="121" t="str">
        <f>IFERROR(__xludf.DUMMYFUNCTION("""COMPUTED_VALUE"""),"WIFS")</f>
        <v>WIFS</v>
      </c>
      <c r="C30" s="121" t="str">
        <f>IFERROR(__xludf.DUMMYFUNCTION("""COMPUTED_VALUE"""),"IEEE International Workshop on Information Forensics and Security")</f>
        <v>IEEE International Workshop on Information Forensics and Security</v>
      </c>
      <c r="D30" s="122">
        <f>IFERROR(__xludf.DUMMYFUNCTION("""COMPUTED_VALUE"""),21.0)</f>
        <v>21</v>
      </c>
      <c r="E30" s="59" t="str">
        <f>IFERROR(__xludf.DUMMYFUNCTION("""COMPUTED_VALUE"""),"https://scholar.google.com/citations?hl=en&amp;view_op=list_hcore&amp;venue=mvVvdS_cvHIJ.2024")</f>
        <v>https://scholar.google.com/citations?hl=en&amp;view_op=list_hcore&amp;venue=mvVvdS_cvHIJ.2024</v>
      </c>
      <c r="G30" t="str">
        <f>IFERROR(__xludf.DUMMYFUNCTION("""COMPUTED_VALUE"""),"IEEE Workshop on Information Forensics and Security")</f>
        <v>IEEE Workshop on Information Forensics and Security</v>
      </c>
      <c r="I30" s="60" t="str">
        <f>IFERROR(__xludf.DUMMYFUNCTION("""COMPUTED_VALUE"""),"https://dblp.org/db/conf/wifs/index.html")</f>
        <v>https://dblp.org/db/conf/wifs/index.html</v>
      </c>
    </row>
    <row r="31">
      <c r="A31" s="68" t="str">
        <f>IFERROR(__xludf.DUMMYFUNCTION("""COMPUTED_VALUE"""),"Eventos da Área")</f>
        <v>Eventos da Área</v>
      </c>
      <c r="B31" s="121" t="str">
        <f>IFERROR(__xludf.DUMMYFUNCTION("""COMPUTED_VALUE"""),"SAFECOMP")</f>
        <v>SAFECOMP</v>
      </c>
      <c r="C31" s="121" t="str">
        <f>IFERROR(__xludf.DUMMYFUNCTION("""COMPUTED_VALUE"""),"International Conference on Computer Safety, Reliability, and Security")</f>
        <v>International Conference on Computer Safety, Reliability, and Security</v>
      </c>
      <c r="D31" s="122">
        <f>IFERROR(__xludf.DUMMYFUNCTION("""COMPUTED_VALUE"""),20.0)</f>
        <v>20</v>
      </c>
      <c r="E31" s="59" t="str">
        <f>IFERROR(__xludf.DUMMYFUNCTION("""COMPUTED_VALUE"""),"https://scholar.google.com/citations?hl=en&amp;view_op=list_hcore&amp;venue=fWfpTei59DsJ.2024")</f>
        <v>https://scholar.google.com/citations?hl=en&amp;view_op=list_hcore&amp;venue=fWfpTei59DsJ.2024</v>
      </c>
      <c r="I31" s="60" t="str">
        <f>IFERROR(__xludf.DUMMYFUNCTION("""COMPUTED_VALUE"""),"https://dblp.org/db/conf/safecomp/index.html")</f>
        <v>https://dblp.org/db/conf/safecomp/index.html</v>
      </c>
    </row>
    <row r="32">
      <c r="A32" s="68" t="str">
        <f>IFERROR(__xludf.DUMMYFUNCTION("""COMPUTED_VALUE"""),"Eventos da Área")</f>
        <v>Eventos da Área</v>
      </c>
      <c r="B32" s="121" t="str">
        <f>IFERROR(__xludf.DUMMYFUNCTION("""COMPUTED_VALUE"""),"NTMS")</f>
        <v>NTMS</v>
      </c>
      <c r="C32" s="121" t="str">
        <f>IFERROR(__xludf.DUMMYFUNCTION("""COMPUTED_VALUE"""),"IFIP International Conference on New Technologies, Mobility and Security")</f>
        <v>IFIP International Conference on New Technologies, Mobility and Security</v>
      </c>
      <c r="D32" s="122">
        <f>IFERROR(__xludf.DUMMYFUNCTION("""COMPUTED_VALUE"""),18.0)</f>
        <v>18</v>
      </c>
      <c r="E32" s="59" t="str">
        <f>IFERROR(__xludf.DUMMYFUNCTION("""COMPUTED_VALUE"""),"https://scholar.google.com/citations?hl=en&amp;view_op=list_hcore&amp;venue=BJDMFlAVW-cJ.2024")</f>
        <v>https://scholar.google.com/citations?hl=en&amp;view_op=list_hcore&amp;venue=BJDMFlAVW-cJ.2024</v>
      </c>
      <c r="I32" s="60" t="str">
        <f>IFERROR(__xludf.DUMMYFUNCTION("""COMPUTED_VALUE"""),"https://dblp.org/db/conf/ntms/index.html")</f>
        <v>https://dblp.org/db/conf/ntms/index.html</v>
      </c>
    </row>
    <row r="33">
      <c r="A33" s="68" t="str">
        <f>IFERROR(__xludf.DUMMYFUNCTION("""COMPUTED_VALUE"""),"Eventos da Área")</f>
        <v>Eventos da Área</v>
      </c>
      <c r="B33" s="121" t="str">
        <f>IFERROR(__xludf.DUMMYFUNCTION("""COMPUTED_VALUE"""),"SEC")</f>
        <v>SEC</v>
      </c>
      <c r="C33" s="121" t="str">
        <f>IFERROR(__xludf.DUMMYFUNCTION("""COMPUTED_VALUE"""),"IFIP TC 11 International Conference on ICT Systems Security and Privacy Protection (IFIP SEC)")</f>
        <v>IFIP TC 11 International Conference on ICT Systems Security and Privacy Protection (IFIP SEC)</v>
      </c>
      <c r="D33" s="122">
        <f>IFERROR(__xludf.DUMMYFUNCTION("""COMPUTED_VALUE"""),18.0)</f>
        <v>18</v>
      </c>
      <c r="E33" s="59" t="str">
        <f>IFERROR(__xludf.DUMMYFUNCTION("""COMPUTED_VALUE"""),"https://scholar.google.com/citations?hl=en&amp;view_op=list_hcore&amp;venue=pMNODcGxo4cJ.2024")</f>
        <v>https://scholar.google.com/citations?hl=en&amp;view_op=list_hcore&amp;venue=pMNODcGxo4cJ.2024</v>
      </c>
      <c r="G33" t="str">
        <f>IFERROR(__xludf.DUMMYFUNCTION("""COMPUTED_VALUE"""),"International Conference on ICT Systems Security and Privacy Protection")</f>
        <v>International Conference on ICT Systems Security and Privacy Protection</v>
      </c>
      <c r="I33" s="60" t="str">
        <f>IFERROR(__xludf.DUMMYFUNCTION("""COMPUTED_VALUE"""),"https://dblp.org/db/conf/sec/index.html")</f>
        <v>https://dblp.org/db/conf/sec/index.html</v>
      </c>
    </row>
    <row r="34">
      <c r="A34" s="68" t="str">
        <f>IFERROR(__xludf.DUMMYFUNCTION("""COMPUTED_VALUE"""),"Eventos da Área")</f>
        <v>Eventos da Área</v>
      </c>
      <c r="B34" s="121" t="str">
        <f>IFERROR(__xludf.DUMMYFUNCTION("""COMPUTED_VALUE"""),"CANS")</f>
        <v>CANS</v>
      </c>
      <c r="C34" s="121" t="str">
        <f>IFERROR(__xludf.DUMMYFUNCTION("""COMPUTED_VALUE"""),"Cryptology and Network Security")</f>
        <v>Cryptology and Network Security</v>
      </c>
      <c r="D34" s="122">
        <f>IFERROR(__xludf.DUMMYFUNCTION("""COMPUTED_VALUE"""),17.0)</f>
        <v>17</v>
      </c>
      <c r="E34" s="59" t="str">
        <f>IFERROR(__xludf.DUMMYFUNCTION("""COMPUTED_VALUE"""),"https://scholar.google.com/citations?hl=en&amp;view_op=list_hcore&amp;venue=q7kWOn3QmqYJ.2024")</f>
        <v>https://scholar.google.com/citations?hl=en&amp;view_op=list_hcore&amp;venue=q7kWOn3QmqYJ.2024</v>
      </c>
      <c r="G34" t="str">
        <f>IFERROR(__xludf.DUMMYFUNCTION("""COMPUTED_VALUE"""),"International Conference on Cryptology and Network Security")</f>
        <v>International Conference on Cryptology and Network Security</v>
      </c>
      <c r="I34" s="60" t="str">
        <f>IFERROR(__xludf.DUMMYFUNCTION("""COMPUTED_VALUE"""),"https://dblp.org/db/conf/cans/index.html")</f>
        <v>https://dblp.org/db/conf/cans/index.html</v>
      </c>
    </row>
    <row r="35">
      <c r="A35" s="68" t="str">
        <f>IFERROR(__xludf.DUMMYFUNCTION("""COMPUTED_VALUE"""),"Eventos da Área")</f>
        <v>Eventos da Área</v>
      </c>
      <c r="B35" s="121" t="str">
        <f>IFERROR(__xludf.DUMMYFUNCTION("""COMPUTED_VALUE"""),"INDOCRYPT")</f>
        <v>INDOCRYPT</v>
      </c>
      <c r="C35" s="121" t="str">
        <f>IFERROR(__xludf.DUMMYFUNCTION("""COMPUTED_VALUE"""),"International Conference on Cryptology in India")</f>
        <v>International Conference on Cryptology in India</v>
      </c>
      <c r="D35" s="122">
        <f>IFERROR(__xludf.DUMMYFUNCTION("""COMPUTED_VALUE"""),17.0)</f>
        <v>17</v>
      </c>
      <c r="E35" s="59" t="str">
        <f>IFERROR(__xludf.DUMMYFUNCTION("""COMPUTED_VALUE"""),"https://scholar.google.com/citations?hl=en&amp;view_op=list_hcore&amp;venue=NQGo0SktmDsJ.2024")</f>
        <v>https://scholar.google.com/citations?hl=en&amp;view_op=list_hcore&amp;venue=NQGo0SktmDsJ.2024</v>
      </c>
      <c r="I35" s="60" t="str">
        <f>IFERROR(__xludf.DUMMYFUNCTION("""COMPUTED_VALUE"""),"https://dblp.org/db/conf/indocrypt/index.html")</f>
        <v>https://dblp.org/db/conf/indocrypt/index.html</v>
      </c>
    </row>
    <row r="36">
      <c r="A36" s="68" t="str">
        <f>IFERROR(__xludf.DUMMYFUNCTION("""COMPUTED_VALUE"""),"Eventos da Área")</f>
        <v>Eventos da Área</v>
      </c>
      <c r="B36" s="121" t="str">
        <f>IFERROR(__xludf.DUMMYFUNCTION("""COMPUTED_VALUE"""),"ACISP")</f>
        <v>ACISP</v>
      </c>
      <c r="C36" s="124" t="str">
        <f>IFERROR(__xludf.DUMMYFUNCTION("""COMPUTED_VALUE"""),"Australasian Conference on Information Security and Privacy")</f>
        <v>Australasian Conference on Information Security and Privacy</v>
      </c>
      <c r="D36" s="122">
        <f>IFERROR(__xludf.DUMMYFUNCTION("""COMPUTED_VALUE"""),17.0)</f>
        <v>17</v>
      </c>
      <c r="E36" s="59" t="str">
        <f>IFERROR(__xludf.DUMMYFUNCTION("""COMPUTED_VALUE"""),"https://scholar.google.com/citations?hl=en&amp;view_op=list_hcore&amp;venue=o0S2wIvNbXEJ.2024")</f>
        <v>https://scholar.google.com/citations?hl=en&amp;view_op=list_hcore&amp;venue=o0S2wIvNbXEJ.2024</v>
      </c>
      <c r="I36" s="60" t="str">
        <f>IFERROR(__xludf.DUMMYFUNCTION("""COMPUTED_VALUE"""),"https://dblp.org/db/conf/acisp/index.html")</f>
        <v>https://dblp.org/db/conf/acisp/index.html</v>
      </c>
    </row>
    <row r="37">
      <c r="A37" s="68" t="str">
        <f>IFERROR(__xludf.DUMMYFUNCTION("""COMPUTED_VALUE"""),"Eventos da Área")</f>
        <v>Eventos da Área</v>
      </c>
      <c r="B37" s="121" t="str">
        <f>IFERROR(__xludf.DUMMYFUNCTION("""COMPUTED_VALUE"""),"SACMAT")</f>
        <v>SACMAT</v>
      </c>
      <c r="C37" s="121" t="str">
        <f>IFERROR(__xludf.DUMMYFUNCTION("""COMPUTED_VALUE"""),"ACM Symposium on Access Control Models and Technologies")</f>
        <v>ACM Symposium on Access Control Models and Technologies</v>
      </c>
      <c r="D37" s="122">
        <f>IFERROR(__xludf.DUMMYFUNCTION("""COMPUTED_VALUE"""),16.0)</f>
        <v>16</v>
      </c>
      <c r="E37" s="59" t="str">
        <f>IFERROR(__xludf.DUMMYFUNCTION("""COMPUTED_VALUE"""),"https://scholar.google.com/citations?hl=en&amp;view_op=list_hcore&amp;venue=9DZYftdOCUAJ.2024")</f>
        <v>https://scholar.google.com/citations?hl=en&amp;view_op=list_hcore&amp;venue=9DZYftdOCUAJ.2024</v>
      </c>
      <c r="I37" s="60" t="str">
        <f>IFERROR(__xludf.DUMMYFUNCTION("""COMPUTED_VALUE"""),"https://dblp.org/db/conf/sacmat/index.html")</f>
        <v>https://dblp.org/db/conf/sacmat/index.html</v>
      </c>
    </row>
    <row r="38">
      <c r="A38" s="68" t="str">
        <f>IFERROR(__xludf.DUMMYFUNCTION("""COMPUTED_VALUE"""),"Eventos da Área")</f>
        <v>Eventos da Área</v>
      </c>
      <c r="B38" s="121" t="str">
        <f>IFERROR(__xludf.DUMMYFUNCTION("""COMPUTED_VALUE"""),"ICICS")</f>
        <v>ICICS</v>
      </c>
      <c r="C38" s="121" t="str">
        <f>IFERROR(__xludf.DUMMYFUNCTION("""COMPUTED_VALUE"""),"International Conference on Information and Communications Security")</f>
        <v>International Conference on Information and Communications Security</v>
      </c>
      <c r="D38" s="122">
        <f>IFERROR(__xludf.DUMMYFUNCTION("""COMPUTED_VALUE"""),16.0)</f>
        <v>16</v>
      </c>
      <c r="E38" s="59" t="str">
        <f>IFERROR(__xludf.DUMMYFUNCTION("""COMPUTED_VALUE"""),"https://scholar.google.com/citations?hl=en&amp;view_op=list_hcore&amp;venue=PlU5605zcRkJ.2024")</f>
        <v>https://scholar.google.com/citations?hl=en&amp;view_op=list_hcore&amp;venue=PlU5605zcRkJ.2024</v>
      </c>
      <c r="I38" s="60" t="str">
        <f>IFERROR(__xludf.DUMMYFUNCTION("""COMPUTED_VALUE"""),"https://dblp.org/db/conf/icics/index.html")</f>
        <v>https://dblp.org/db/conf/icics/index.html</v>
      </c>
    </row>
    <row r="39">
      <c r="A39" s="68" t="str">
        <f>IFERROR(__xludf.DUMMYFUNCTION("""COMPUTED_VALUE"""),"Eventos da Área")</f>
        <v>Eventos da Área</v>
      </c>
      <c r="B39" s="121" t="str">
        <f>IFERROR(__xludf.DUMMYFUNCTION("""COMPUTED_VALUE"""),"PST")</f>
        <v>PST</v>
      </c>
      <c r="C39" s="121" t="str">
        <f>IFERROR(__xludf.DUMMYFUNCTION("""COMPUTED_VALUE"""),"Conference on Privacy, Security and Trust")</f>
        <v>Conference on Privacy, Security and Trust</v>
      </c>
      <c r="D39" s="122">
        <f>IFERROR(__xludf.DUMMYFUNCTION("""COMPUTED_VALUE"""),15.0)</f>
        <v>15</v>
      </c>
      <c r="E39" s="59" t="str">
        <f>IFERROR(__xludf.DUMMYFUNCTION("""COMPUTED_VALUE"""),"https://scholar.google.com/citations?hl=en&amp;view_op=list_hcore&amp;venue=xoT0NbWIf-kJ.2024")</f>
        <v>https://scholar.google.com/citations?hl=en&amp;view_op=list_hcore&amp;venue=xoT0NbWIf-kJ.2024</v>
      </c>
      <c r="G39" t="str">
        <f>IFERROR(__xludf.DUMMYFUNCTION("""COMPUTED_VALUE"""),"International Conference on Privacy, Security and Trust")</f>
        <v>International Conference on Privacy, Security and Trust</v>
      </c>
      <c r="I39" s="60" t="str">
        <f>IFERROR(__xludf.DUMMYFUNCTION("""COMPUTED_VALUE"""),"https://dblp.org/db/conf/pst/index.html")</f>
        <v>https://dblp.org/db/conf/pst/index.html</v>
      </c>
    </row>
    <row r="40">
      <c r="A40" s="68" t="str">
        <f>IFERROR(__xludf.DUMMYFUNCTION("""COMPUTED_VALUE"""),"Eventos da Área")</f>
        <v>Eventos da Área</v>
      </c>
      <c r="B40" s="121" t="str">
        <f>IFERROR(__xludf.DUMMYFUNCTION("""COMPUTED_VALUE"""),"DBSec")</f>
        <v>DBSec</v>
      </c>
      <c r="C40" s="121" t="str">
        <f>IFERROR(__xludf.DUMMYFUNCTION("""COMPUTED_VALUE"""),"IFIP WG 11.3 Conference on Data and Applications Security and Privacy")</f>
        <v>IFIP WG 11.3 Conference on Data and Applications Security and Privacy</v>
      </c>
      <c r="D40" s="122">
        <f>IFERROR(__xludf.DUMMYFUNCTION("""COMPUTED_VALUE"""),15.0)</f>
        <v>15</v>
      </c>
      <c r="E40" s="59" t="str">
        <f>IFERROR(__xludf.DUMMYFUNCTION("""COMPUTED_VALUE"""),"https://scholar.google.com/citations?hl=en&amp;view_op=list_hcore&amp;venue=t9ttKFRoPtkJ.2024")</f>
        <v>https://scholar.google.com/citations?hl=en&amp;view_op=list_hcore&amp;venue=t9ttKFRoPtkJ.2024</v>
      </c>
      <c r="I40" s="60" t="str">
        <f>IFERROR(__xludf.DUMMYFUNCTION("""COMPUTED_VALUE"""),"https://dblp.org/db/conf/dbsec/index.html")</f>
        <v>https://dblp.org/db/conf/dbsec/index.html</v>
      </c>
    </row>
    <row r="41">
      <c r="A41" s="68" t="str">
        <f>IFERROR(__xludf.DUMMYFUNCTION("""COMPUTED_VALUE"""),"Eventos da Área")</f>
        <v>Eventos da Área</v>
      </c>
      <c r="B41" s="121" t="str">
        <f>IFERROR(__xludf.DUMMYFUNCTION("""COMPUTED_VALUE"""),"NSS")</f>
        <v>NSS</v>
      </c>
      <c r="C41" s="121" t="str">
        <f>IFERROR(__xludf.DUMMYFUNCTION("""COMPUTED_VALUE"""),"Network and System Security")</f>
        <v>Network and System Security</v>
      </c>
      <c r="D41" s="122">
        <f>IFERROR(__xludf.DUMMYFUNCTION("""COMPUTED_VALUE"""),15.0)</f>
        <v>15</v>
      </c>
      <c r="E41" s="59" t="str">
        <f>IFERROR(__xludf.DUMMYFUNCTION("""COMPUTED_VALUE"""),"https://scholar.google.com/citations?hl=en&amp;view_op=list_hcore&amp;venue=mDgNlZgOboEJ.2024")</f>
        <v>https://scholar.google.com/citations?hl=en&amp;view_op=list_hcore&amp;venue=mDgNlZgOboEJ.2024</v>
      </c>
      <c r="I41" s="60" t="str">
        <f>IFERROR(__xludf.DUMMYFUNCTION("""COMPUTED_VALUE"""),"https://dblp.org/db/conf/nss/index.html")</f>
        <v>https://dblp.org/db/conf/nss/index.html</v>
      </c>
    </row>
    <row r="42">
      <c r="A42" s="68" t="str">
        <f>IFERROR(__xludf.DUMMYFUNCTION("""COMPUTED_VALUE"""),"Eventos da Área")</f>
        <v>Eventos da Área</v>
      </c>
      <c r="B42" s="121" t="str">
        <f>IFERROR(__xludf.DUMMYFUNCTION("""COMPUTED_VALUE"""),"CHES")</f>
        <v>CHES</v>
      </c>
      <c r="C42" s="121" t="str">
        <f>IFERROR(__xludf.DUMMYFUNCTION("""COMPUTED_VALUE"""),"Workshop on Cryptographic Hardware and Embedded Systems")</f>
        <v>Workshop on Cryptographic Hardware and Embedded Systems</v>
      </c>
      <c r="D42" s="122">
        <f>IFERROR(__xludf.DUMMYFUNCTION("""COMPUTED_VALUE"""),14.0)</f>
        <v>14</v>
      </c>
      <c r="E42" s="59" t="str">
        <f>IFERROR(__xludf.DUMMYFUNCTION("""COMPUTED_VALUE"""),"https://scholar.google.com/citations?hl=en&amp;view_op=list_hcore&amp;venue=fxQZq2l4GcMJ.2019   (https://scholar.google.com/scholar?hl=pt-BR&amp;as_sdt=0%2C5&amp;as_ylo=2020&amp;q=%22Conference+on+Cryptographic+Hardware+and+Embedded+Systems%22&amp;btnG=)")</f>
        <v>https://scholar.google.com/citations?hl=en&amp;view_op=list_hcore&amp;venue=fxQZq2l4GcMJ.2019   (https://scholar.google.com/scholar?hl=pt-BR&amp;as_sdt=0%2C5&amp;as_ylo=2020&amp;q=%22Conference+on+Cryptographic+Hardware+and+Embedded+Systems%22&amp;btnG=)</v>
      </c>
      <c r="G42" t="str">
        <f>IFERROR(__xludf.DUMMYFUNCTION("""COMPUTED_VALUE"""),"Conference on Cryptographic Hardware and Embedded Systems")</f>
        <v>Conference on Cryptographic Hardware and Embedded Systems</v>
      </c>
      <c r="I42" s="60" t="str">
        <f>IFERROR(__xludf.DUMMYFUNCTION("""COMPUTED_VALUE"""),"https://dblp.org/db/conf/ches/index.html")</f>
        <v>https://dblp.org/db/conf/ches/index.html</v>
      </c>
    </row>
    <row r="43">
      <c r="A43" s="68" t="str">
        <f>IFERROR(__xludf.DUMMYFUNCTION("""COMPUTED_VALUE"""),"Eventos da Área")</f>
        <v>Eventos da Área</v>
      </c>
      <c r="B43" s="121" t="str">
        <f>IFERROR(__xludf.DUMMYFUNCTION("""COMPUTED_VALUE"""),"ISC")</f>
        <v>ISC</v>
      </c>
      <c r="C43" s="121" t="str">
        <f>IFERROR(__xludf.DUMMYFUNCTION("""COMPUTED_VALUE"""),"International Conference on Information Security")</f>
        <v>International Conference on Information Security</v>
      </c>
      <c r="D43" s="122">
        <f>IFERROR(__xludf.DUMMYFUNCTION("""COMPUTED_VALUE"""),14.0)</f>
        <v>14</v>
      </c>
      <c r="E43" s="59" t="str">
        <f>IFERROR(__xludf.DUMMYFUNCTION("""COMPUTED_VALUE"""),"https://scholar.google.com/citations?hl=en&amp;view_op=list_hcore&amp;venue=Vnq3DIsft2YJ.2024")</f>
        <v>https://scholar.google.com/citations?hl=en&amp;view_op=list_hcore&amp;venue=Vnq3DIsft2YJ.2024</v>
      </c>
      <c r="G43" t="str">
        <f>IFERROR(__xludf.DUMMYFUNCTION("""COMPUTED_VALUE"""),"International Supercomputing Conference")</f>
        <v>International Supercomputing Conference</v>
      </c>
      <c r="I43" s="60" t="str">
        <f>IFERROR(__xludf.DUMMYFUNCTION("""COMPUTED_VALUE"""),"https://dblp.org/db/conf/isw/index.html")</f>
        <v>https://dblp.org/db/conf/isw/index.html</v>
      </c>
    </row>
    <row r="44">
      <c r="A44" s="68" t="str">
        <f>IFERROR(__xludf.DUMMYFUNCTION("""COMPUTED_VALUE"""),"Eventos da Área")</f>
        <v>Eventos da Área</v>
      </c>
      <c r="B44" s="121" t="str">
        <f>IFERROR(__xludf.DUMMYFUNCTION("""COMPUTED_VALUE"""),"WPES")</f>
        <v>WPES</v>
      </c>
      <c r="C44" s="121" t="str">
        <f>IFERROR(__xludf.DUMMYFUNCTION("""COMPUTED_VALUE"""),"Annual ACM workshop on Privacy in the electronic society")</f>
        <v>Annual ACM workshop on Privacy in the electronic society</v>
      </c>
      <c r="D44" s="122">
        <f>IFERROR(__xludf.DUMMYFUNCTION("""COMPUTED_VALUE"""),13.0)</f>
        <v>13</v>
      </c>
      <c r="E44" s="59" t="str">
        <f>IFERROR(__xludf.DUMMYFUNCTION("""COMPUTED_VALUE"""),"https://scholar.google.com/citations?hl=en&amp;view_op=list_hcore&amp;venue=pUbmTvcLFnQJ.2023 (https://scholar.google.com/scholar?hl=pt-BR&amp;as_sdt=0%2C5&amp;as_ylo=2020&amp;q=%22Annual+ACM+workshop+on+Privacy+in+the+electronic+society%22&amp;btnG=)")</f>
        <v>https://scholar.google.com/citations?hl=en&amp;view_op=list_hcore&amp;venue=pUbmTvcLFnQJ.2023 (https://scholar.google.com/scholar?hl=pt-BR&amp;as_sdt=0%2C5&amp;as_ylo=2020&amp;q=%22Annual+ACM+workshop+on+Privacy+in+the+electronic+society%22&amp;btnG=)</v>
      </c>
      <c r="I44" s="60" t="str">
        <f>IFERROR(__xludf.DUMMYFUNCTION("""COMPUTED_VALUE"""),"https://dblp.org/db/conf/wpes/index.html")</f>
        <v>https://dblp.org/db/conf/wpes/index.html</v>
      </c>
    </row>
    <row r="45">
      <c r="A45" s="68" t="str">
        <f>IFERROR(__xludf.DUMMYFUNCTION("""COMPUTED_VALUE"""),"Eventos da Área")</f>
        <v>Eventos da Área</v>
      </c>
      <c r="B45" s="121" t="str">
        <f>IFERROR(__xludf.DUMMYFUNCTION("""COMPUTED_VALUE"""),"LATINCRYPT")</f>
        <v>LATINCRYPT</v>
      </c>
      <c r="C45" s="124" t="str">
        <f>IFERROR(__xludf.DUMMYFUNCTION("""COMPUTED_VALUE"""),"International Conference on Cryptology and Information Security in Latin America")</f>
        <v>International Conference on Cryptology and Information Security in Latin America</v>
      </c>
      <c r="D45" s="122">
        <f>IFERROR(__xludf.DUMMYFUNCTION("""COMPUTED_VALUE"""),12.0)</f>
        <v>12</v>
      </c>
      <c r="E45" s="59" t="str">
        <f>IFERROR(__xludf.DUMMYFUNCTION("""COMPUTED_VALUE"""),"https://scholar.google.com/scholar?hl=pt-BR&amp;as_sdt=0%2C5&amp;as_ylo=2020&amp;q=%22International+Conference+on+Cryptology+and+Information+Security+in+Latin+America%22&amp;btnG=  (É o principal evento latino-americano envolvendo criptografia, patrocinado pela SBC)")</f>
        <v>https://scholar.google.com/scholar?hl=pt-BR&amp;as_sdt=0%2C5&amp;as_ylo=2020&amp;q=%22International+Conference+on+Cryptology+and+Information+Security+in+Latin+America%22&amp;btnG=  (É o principal evento latino-americano envolvendo criptografia, patrocinado pela SBC)</v>
      </c>
      <c r="I45" s="60" t="str">
        <f>IFERROR(__xludf.DUMMYFUNCTION("""COMPUTED_VALUE"""),"https://dblp.org/db/conf/latincrypt/index.html")</f>
        <v>https://dblp.org/db/conf/latincrypt/index.html</v>
      </c>
    </row>
    <row r="46">
      <c r="A46" s="68" t="str">
        <f>IFERROR(__xludf.DUMMYFUNCTION("""COMPUTED_VALUE"""),"Eventos da Área")</f>
        <v>Eventos da Área</v>
      </c>
      <c r="B46" s="121" t="str">
        <f>IFERROR(__xludf.DUMMYFUNCTION("""COMPUTED_VALUE"""),"ICISC")</f>
        <v>ICISC</v>
      </c>
      <c r="C46" s="121" t="str">
        <f>IFERROR(__xludf.DUMMYFUNCTION("""COMPUTED_VALUE"""),"International Conference on Information Security and Cryptology")</f>
        <v>International Conference on Information Security and Cryptology</v>
      </c>
      <c r="D46" s="122">
        <f>IFERROR(__xludf.DUMMYFUNCTION("""COMPUTED_VALUE"""),11.0)</f>
        <v>11</v>
      </c>
      <c r="E46" s="59" t="str">
        <f>IFERROR(__xludf.DUMMYFUNCTION("""COMPUTED_VALUE"""),"https://scholar.google.com/citations?hl=en&amp;view_op=list_hcore&amp;venue=MSHaZsrVGwsJ.2024")</f>
        <v>https://scholar.google.com/citations?hl=en&amp;view_op=list_hcore&amp;venue=MSHaZsrVGwsJ.2024</v>
      </c>
      <c r="I46" s="60" t="str">
        <f>IFERROR(__xludf.DUMMYFUNCTION("""COMPUTED_VALUE"""),"https://dblp.org/db/conf/icisc/index.html")</f>
        <v>https://dblp.org/db/conf/icisc/index.html</v>
      </c>
    </row>
    <row r="47">
      <c r="A47" s="68" t="str">
        <f>IFERROR(__xludf.DUMMYFUNCTION("""COMPUTED_VALUE"""),"Eventos da Área")</f>
        <v>Eventos da Área</v>
      </c>
      <c r="B47" s="121" t="str">
        <f>IFERROR(__xludf.DUMMYFUNCTION("""COMPUTED_VALUE"""),"ISSA")</f>
        <v>ISSA</v>
      </c>
      <c r="C47" s="121" t="str">
        <f>IFERROR(__xludf.DUMMYFUNCTION("""COMPUTED_VALUE"""),"Information Security for South Africa")</f>
        <v>Information Security for South Africa</v>
      </c>
      <c r="D47" s="122">
        <f>IFERROR(__xludf.DUMMYFUNCTION("""COMPUTED_VALUE"""),11.0)</f>
        <v>11</v>
      </c>
      <c r="E47" s="59" t="str">
        <f>IFERROR(__xludf.DUMMYFUNCTION("""COMPUTED_VALUE"""),"https://scholar.google.com/citations?hl=en&amp;view_op=list_hcore&amp;venue=mjGhRMqAqs8J.2019  (https://scholar.google.com/scholar?hl=pt-BR&amp;as_sdt=0%2C5&amp;as_ylo=2020&amp;q=%22Information+Security+for+South+Africa%22&amp;btnG=)")</f>
        <v>https://scholar.google.com/citations?hl=en&amp;view_op=list_hcore&amp;venue=mjGhRMqAqs8J.2019  (https://scholar.google.com/scholar?hl=pt-BR&amp;as_sdt=0%2C5&amp;as_ylo=2020&amp;q=%22Information+Security+for+South+Africa%22&amp;btnG=)</v>
      </c>
      <c r="I47" s="60" t="str">
        <f>IFERROR(__xludf.DUMMYFUNCTION("""COMPUTED_VALUE"""),"https://dblp.org/db/conf/issa/index.html")</f>
        <v>https://dblp.org/db/conf/issa/index.html</v>
      </c>
    </row>
    <row r="48">
      <c r="A48" s="68" t="str">
        <f>IFERROR(__xludf.DUMMYFUNCTION("""COMPUTED_VALUE"""),"Eventos da Área")</f>
        <v>Eventos da Área</v>
      </c>
      <c r="B48" s="121" t="str">
        <f>IFERROR(__xludf.DUMMYFUNCTION("""COMPUTED_VALUE"""),"ASID")</f>
        <v>ASID</v>
      </c>
      <c r="C48" s="121" t="str">
        <f>IFERROR(__xludf.DUMMYFUNCTION("""COMPUTED_VALUE"""),"International Conference on Anti-counterfeiting, Security, and Identification in Communication")</f>
        <v>International Conference on Anti-counterfeiting, Security, and Identification in Communication</v>
      </c>
      <c r="D48" s="122">
        <f>IFERROR(__xludf.DUMMYFUNCTION("""COMPUTED_VALUE"""),11.0)</f>
        <v>11</v>
      </c>
      <c r="E48" s="59" t="str">
        <f>IFERROR(__xludf.DUMMYFUNCTION("""COMPUTED_VALUE"""),"https://scholar.google.com/citations?hl=en&amp;view_op=list_hcore&amp;venue=G0FddLwZFDcJ.2024")</f>
        <v>https://scholar.google.com/citations?hl=en&amp;view_op=list_hcore&amp;venue=G0FddLwZFDcJ.2024</v>
      </c>
    </row>
    <row r="49">
      <c r="A49" s="68" t="str">
        <f>IFERROR(__xludf.DUMMYFUNCTION("""COMPUTED_VALUE"""),"Eventos da Área")</f>
        <v>Eventos da Área</v>
      </c>
      <c r="B49" s="121" t="str">
        <f>IFERROR(__xludf.DUMMYFUNCTION("""COMPUTED_VALUE"""),"SECRYPT")</f>
        <v>SECRYPT</v>
      </c>
      <c r="C49" s="121" t="str">
        <f>IFERROR(__xludf.DUMMYFUNCTION("""COMPUTED_VALUE"""),"International Conference on Security and Cryptography")</f>
        <v>International Conference on Security and Cryptography</v>
      </c>
      <c r="D49" s="122">
        <f>IFERROR(__xludf.DUMMYFUNCTION("""COMPUTED_VALUE"""),11.0)</f>
        <v>11</v>
      </c>
      <c r="E49" s="59" t="str">
        <f>IFERROR(__xludf.DUMMYFUNCTION("""COMPUTED_VALUE"""),"https://scholar.google.com/citations?hl=en&amp;view_op=list_hcore&amp;venue=xSWUNlszhlkJ.2024")</f>
        <v>https://scholar.google.com/citations?hl=en&amp;view_op=list_hcore&amp;venue=xSWUNlszhlkJ.2024</v>
      </c>
      <c r="I49" s="60" t="str">
        <f>IFERROR(__xludf.DUMMYFUNCTION("""COMPUTED_VALUE"""),"https://dblp.org/db/conf/secrypt/index.html")</f>
        <v>https://dblp.org/db/conf/secrypt/index.html</v>
      </c>
    </row>
    <row r="50">
      <c r="A50" s="68" t="str">
        <f>IFERROR(__xludf.DUMMYFUNCTION("""COMPUTED_VALUE"""),"Eventos da Área")</f>
        <v>Eventos da Área</v>
      </c>
      <c r="B50" s="121" t="str">
        <f>IFERROR(__xludf.DUMMYFUNCTION("""COMPUTED_VALUE"""),"ICDF")</f>
        <v>ICDF</v>
      </c>
      <c r="C50" s="121" t="str">
        <f>IFERROR(__xludf.DUMMYFUNCTION("""COMPUTED_VALUE"""),"IFIP International Conference on Digital Forensics")</f>
        <v>IFIP International Conference on Digital Forensics</v>
      </c>
      <c r="D50" s="122">
        <f>IFERROR(__xludf.DUMMYFUNCTION("""COMPUTED_VALUE"""),10.0)</f>
        <v>10</v>
      </c>
      <c r="E50" s="59" t="str">
        <f>IFERROR(__xludf.DUMMYFUNCTION("""COMPUTED_VALUE"""),"https://scholar.google.com/citations?hl=en&amp;view_op=list_hcore&amp;venue=-4oZh5Q9EIcJ.2019 (https://scholar.google.com/scholar?hl=pt-BR&amp;as_sdt=0%2C5&amp;as_ylo=2020&amp;q=%22IFIP+International+Conference+on+Digital+Forensics%22&amp;btnG=)")</f>
        <v>https://scholar.google.com/citations?hl=en&amp;view_op=list_hcore&amp;venue=-4oZh5Q9EIcJ.2019 (https://scholar.google.com/scholar?hl=pt-BR&amp;as_sdt=0%2C5&amp;as_ylo=2020&amp;q=%22IFIP+International+Conference+on+Digital+Forensics%22&amp;btnG=)</v>
      </c>
      <c r="I50" s="60" t="str">
        <f>IFERROR(__xludf.DUMMYFUNCTION("""COMPUTED_VALUE"""),"https://dblp.org/db/conf/ifip11-9/index.html")</f>
        <v>https://dblp.org/db/conf/ifip11-9/index.html</v>
      </c>
    </row>
    <row r="51">
      <c r="A51" s="68" t="str">
        <f>IFERROR(__xludf.DUMMYFUNCTION("""COMPUTED_VALUE"""),"Eventos da Área")</f>
        <v>Eventos da Área</v>
      </c>
      <c r="B51" s="121" t="str">
        <f>IFERROR(__xludf.DUMMYFUNCTION("""COMPUTED_VALUE"""),"SRDS")</f>
        <v>SRDS</v>
      </c>
      <c r="C51" s="121" t="str">
        <f>IFERROR(__xludf.DUMMYFUNCTION("""COMPUTED_VALUE"""),"Symposium on Reliable Distributed Systems")</f>
        <v>Symposium on Reliable Distributed Systems</v>
      </c>
      <c r="D51" s="122">
        <f>IFERROR(__xludf.DUMMYFUNCTION("""COMPUTED_VALUE"""),10.0)</f>
        <v>10</v>
      </c>
      <c r="E51" s="59" t="str">
        <f>IFERROR(__xludf.DUMMYFUNCTION("""COMPUTED_VALUE"""),"https://scholar.google.com/citations?hl=en&amp;view_op=list_hcore&amp;venue=jMvtRj_Yg6wJ.2018 (https://scholar.google.es/scholar?hl=pt-BR&amp;as_sdt=0%2C5&amp;as_ylo=2020&amp;q=%22IEEE+Symposium+on+Reliable+Distributed+Systems%22&amp;btnG=)")</f>
        <v>https://scholar.google.com/citations?hl=en&amp;view_op=list_hcore&amp;venue=jMvtRj_Yg6wJ.2018 (https://scholar.google.es/scholar?hl=pt-BR&amp;as_sdt=0%2C5&amp;as_ylo=2020&amp;q=%22IEEE+Symposium+on+Reliable+Distributed+Systems%22&amp;btnG=)</v>
      </c>
      <c r="G51" t="str">
        <f>IFERROR(__xludf.DUMMYFUNCTION("""COMPUTED_VALUE"""),"IEEE Symposium on Reliable Distributed Systems")</f>
        <v>IEEE Symposium on Reliable Distributed Systems</v>
      </c>
      <c r="I51" s="60" t="str">
        <f>IFERROR(__xludf.DUMMYFUNCTION("""COMPUTED_VALUE"""),"https://dblp.org/db/conf/srds/index.html")</f>
        <v>https://dblp.org/db/conf/srds/index.html</v>
      </c>
    </row>
    <row r="52">
      <c r="A52" s="68" t="str">
        <f>IFERROR(__xludf.DUMMYFUNCTION("""COMPUTED_VALUE"""),"Eventos da Área")</f>
        <v>Eventos da Área</v>
      </c>
      <c r="B52" s="121" t="str">
        <f>IFERROR(__xludf.DUMMYFUNCTION("""COMPUTED_VALUE"""),"FSE")</f>
        <v>FSE</v>
      </c>
      <c r="C52" s="121" t="str">
        <f>IFERROR(__xludf.DUMMYFUNCTION("""COMPUTED_VALUE"""),"Fast Software Encryption")</f>
        <v>Fast Software Encryption</v>
      </c>
      <c r="D52" s="122">
        <f>IFERROR(__xludf.DUMMYFUNCTION("""COMPUTED_VALUE"""),8.0)</f>
        <v>8</v>
      </c>
      <c r="E52" s="59" t="str">
        <f>IFERROR(__xludf.DUMMYFUNCTION("""COMPUTED_VALUE"""),"https://scholar.google.com/citations?hl=en&amp;view_op=list_hcore&amp;venue=u0EMblNmhEoJ.2018 (https://scholar.google.com/scholar?hl=pt-BR&amp;as_sdt=0%2C5&amp;as_ylo=2020&amp;q=%22Fast+Software+Encryption%22&amp;btnG=)")</f>
        <v>https://scholar.google.com/citations?hl=en&amp;view_op=list_hcore&amp;venue=u0EMblNmhEoJ.2018 (https://scholar.google.com/scholar?hl=pt-BR&amp;as_sdt=0%2C5&amp;as_ylo=2020&amp;q=%22Fast+Software+Encryption%22&amp;btnG=)</v>
      </c>
      <c r="I52" s="60" t="str">
        <f>IFERROR(__xludf.DUMMYFUNCTION("""COMPUTED_VALUE"""),"https://dblp.org/db/conf/fse/index.html")</f>
        <v>https://dblp.org/db/conf/fse/index.html</v>
      </c>
    </row>
    <row r="53">
      <c r="A53" s="68" t="str">
        <f>IFERROR(__xludf.DUMMYFUNCTION("""COMPUTED_VALUE"""),"Eventos da Área")</f>
        <v>Eventos da Área</v>
      </c>
      <c r="B53" s="125" t="str">
        <f>IFERROR(__xludf.DUMMYFUNCTION("""COMPUTED_VALUE"""),"SSCC")</f>
        <v>SSCC</v>
      </c>
      <c r="C53" s="126" t="str">
        <f>IFERROR(__xludf.DUMMYFUNCTION("""COMPUTED_VALUE"""),"International Symposium on Security in Computing and Communications")</f>
        <v>International Symposium on Security in Computing and Communications</v>
      </c>
      <c r="D53" s="127">
        <f>IFERROR(__xludf.DUMMYFUNCTION("""COMPUTED_VALUE"""),8.0)</f>
        <v>8</v>
      </c>
      <c r="E53" s="59" t="str">
        <f>IFERROR(__xludf.DUMMYFUNCTION("""COMPUTED_VALUE"""),"https://scholar.google.com/citations?hl=en&amp;view_op=list_hcore&amp;venue=pGU5_1oxcy0J.2023 (https://scholar.google.com/scholar?hl=pt-BR&amp;as_sdt=0%2C5&amp;as_ylo=2020&amp;q=International+Symposium+on+Security+in+Computing+and+Communications&amp;btnG=)")</f>
        <v>https://scholar.google.com/citations?hl=en&amp;view_op=list_hcore&amp;venue=pGU5_1oxcy0J.2023 (https://scholar.google.com/scholar?hl=pt-BR&amp;as_sdt=0%2C5&amp;as_ylo=2020&amp;q=International+Symposium+on+Security+in+Computing+and+Communications&amp;btnG=)</v>
      </c>
      <c r="I53" s="60" t="str">
        <f>IFERROR(__xludf.DUMMYFUNCTION("""COMPUTED_VALUE"""),"https://dblp.org/db/conf/sscc/index.html")</f>
        <v>https://dblp.org/db/conf/sscc/index.html</v>
      </c>
    </row>
    <row r="54">
      <c r="A54" s="68" t="str">
        <f>IFERROR(__xludf.DUMMYFUNCTION("""COMPUTED_VALUE"""),"Eventos da Área")</f>
        <v>Eventos da Área</v>
      </c>
      <c r="B54" t="str">
        <f>IFERROR(__xludf.DUMMYFUNCTION("""COMPUTED_VALUE"""),"ICISS")</f>
        <v>ICISS</v>
      </c>
      <c r="C54" t="str">
        <f>IFERROR(__xludf.DUMMYFUNCTION("""COMPUTED_VALUE"""),"International Conference on Information Systems Security")</f>
        <v>International Conference on Information Systems Security</v>
      </c>
      <c r="D54">
        <f>IFERROR(__xludf.DUMMYFUNCTION("""COMPUTED_VALUE"""),4.0)</f>
        <v>4</v>
      </c>
      <c r="E54" s="59" t="str">
        <f>IFERROR(__xludf.DUMMYFUNCTION("""COMPUTED_VALUE"""),"https://scholar.google.com/citations?hl=en&amp;view_op=list_hcore&amp;venue=p8h6FO7flgIJ.2021 (https://scholar.google.com/scholar?hl=pt-BR&amp;as_sdt=0%2C5&amp;as_ylo=2020&amp;q=%22International+Conference+on+Information+Systems+Security%22&amp;btnG=)")</f>
        <v>https://scholar.google.com/citations?hl=en&amp;view_op=list_hcore&amp;venue=p8h6FO7flgIJ.2021 (https://scholar.google.com/scholar?hl=pt-BR&amp;as_sdt=0%2C5&amp;as_ylo=2020&amp;q=%22International+Conference+on+Information+Systems+Security%22&amp;btnG=)</v>
      </c>
      <c r="I54" s="60" t="str">
        <f>IFERROR(__xludf.DUMMYFUNCTION("""COMPUTED_VALUE"""),"https://dblp.org/db/conf/iciss/index.html")</f>
        <v>https://dblp.org/db/conf/iciss/index.html</v>
      </c>
    </row>
    <row r="55">
      <c r="A55" s="68" t="str">
        <f>IFERROR(__xludf.DUMMYFUNCTION("""COMPUTED_VALUE"""),"Eventos da Área")</f>
        <v>Eventos da Área</v>
      </c>
      <c r="B55" t="str">
        <f>IFERROR(__xludf.DUMMYFUNCTION("""COMPUTED_VALUE"""),"IIH-MSP")</f>
        <v>IIH-MSP</v>
      </c>
      <c r="C55" t="str">
        <f>IFERROR(__xludf.DUMMYFUNCTION("""COMPUTED_VALUE"""),"International Conference on Intelligent Information Hiding and Multimedia Signal Processing")</f>
        <v>International Conference on Intelligent Information Hiding and Multimedia Signal Processing</v>
      </c>
      <c r="D55">
        <f>IFERROR(__xludf.DUMMYFUNCTION("""COMPUTED_VALUE"""),4.0)</f>
        <v>4</v>
      </c>
      <c r="E55" s="59" t="str">
        <f>IFERROR(__xludf.DUMMYFUNCTION("""COMPUTED_VALUE"""),"https://scholar.google.com/citations?hl=en&amp;view_op=list_hcore&amp;venue=glSJUMMggrUJ.2020 (https://scholar.google.com/scholar?hl=pt-BR&amp;as_sdt=0%2C5&amp;as_ylo=2020&amp;q=%22International+Conference+on+Intelligent+Information+Hiding+and+Multimedia+Signal+Processing%22"&amp;"&amp;btnG=)")</f>
        <v>https://scholar.google.com/citations?hl=en&amp;view_op=list_hcore&amp;venue=glSJUMMggrUJ.2020 (https://scholar.google.com/scholar?hl=pt-BR&amp;as_sdt=0%2C5&amp;as_ylo=2020&amp;q=%22International+Conference+on+Intelligent+Information+Hiding+and+Multimedia+Signal+Processing%22&amp;btnG=)</v>
      </c>
      <c r="I55" s="60" t="str">
        <f>IFERROR(__xludf.DUMMYFUNCTION("""COMPUTED_VALUE"""),"https://dblp.org/db/conf/iih-msp/index.html")</f>
        <v>https://dblp.org/db/conf/iih-msp/index.html</v>
      </c>
    </row>
    <row r="56">
      <c r="A56" s="68"/>
    </row>
    <row r="57">
      <c r="A57" s="68"/>
    </row>
    <row r="58">
      <c r="A58" s="68"/>
    </row>
    <row r="59">
      <c r="A59" s="68"/>
    </row>
    <row r="60">
      <c r="A60" s="68"/>
    </row>
    <row r="61">
      <c r="A61" s="68"/>
    </row>
    <row r="62">
      <c r="A62" s="68"/>
    </row>
    <row r="63">
      <c r="A63" s="68"/>
    </row>
    <row r="64">
      <c r="A64" s="68"/>
    </row>
    <row r="65">
      <c r="A65" s="68"/>
    </row>
    <row r="66">
      <c r="A66" s="68"/>
    </row>
    <row r="67">
      <c r="A67" s="68"/>
    </row>
    <row r="68">
      <c r="A68" s="68"/>
    </row>
    <row r="69">
      <c r="A69" s="68"/>
    </row>
    <row r="70">
      <c r="A70" s="68"/>
    </row>
    <row r="71">
      <c r="A71" s="68"/>
    </row>
    <row r="72">
      <c r="A72" s="68"/>
    </row>
    <row r="73">
      <c r="A73" s="68"/>
    </row>
    <row r="74">
      <c r="A74" s="68"/>
    </row>
    <row r="75">
      <c r="A75" s="68"/>
    </row>
    <row r="76">
      <c r="A76" s="68"/>
    </row>
    <row r="77">
      <c r="A77" s="68"/>
    </row>
    <row r="78">
      <c r="A78" s="68"/>
    </row>
    <row r="79">
      <c r="A79" s="68"/>
    </row>
    <row r="80">
      <c r="A80" s="68"/>
    </row>
    <row r="81">
      <c r="A81" s="68"/>
    </row>
    <row r="82">
      <c r="A82" s="68"/>
    </row>
    <row r="83">
      <c r="A83" s="68"/>
    </row>
    <row r="84">
      <c r="A84" s="68"/>
    </row>
    <row r="85">
      <c r="A85" s="68"/>
    </row>
    <row r="86">
      <c r="A86" s="68"/>
    </row>
    <row r="87">
      <c r="A87" s="68"/>
    </row>
    <row r="88">
      <c r="A88" s="68"/>
    </row>
    <row r="89">
      <c r="A89" s="68"/>
    </row>
    <row r="90">
      <c r="A90" s="68"/>
    </row>
    <row r="91">
      <c r="A91" s="68"/>
    </row>
    <row r="92">
      <c r="A92" s="68"/>
    </row>
    <row r="93">
      <c r="A93" s="68"/>
    </row>
    <row r="94">
      <c r="A94" s="68"/>
    </row>
    <row r="95">
      <c r="A95" s="68"/>
    </row>
    <row r="96">
      <c r="A96" s="68"/>
    </row>
    <row r="97">
      <c r="A97" s="68"/>
    </row>
    <row r="98">
      <c r="A98" s="68"/>
    </row>
    <row r="99">
      <c r="A99" s="68"/>
    </row>
    <row r="100">
      <c r="A100" s="68"/>
    </row>
  </sheetData>
  <hyperlinks>
    <hyperlink r:id="rId1" ref="E2"/>
    <hyperlink r:id="rId2" ref="I2"/>
    <hyperlink r:id="rId3" ref="E3"/>
    <hyperlink r:id="rId4" ref="I3"/>
    <hyperlink r:id="rId5" ref="E4"/>
    <hyperlink r:id="rId6" ref="I4"/>
    <hyperlink r:id="rId7" ref="E5"/>
    <hyperlink r:id="rId8" ref="I5"/>
    <hyperlink r:id="rId9" ref="E6"/>
    <hyperlink r:id="rId10" ref="I6"/>
    <hyperlink r:id="rId11" ref="E7"/>
    <hyperlink r:id="rId12" ref="I7"/>
    <hyperlink r:id="rId13" ref="E8"/>
    <hyperlink r:id="rId14" ref="I8"/>
    <hyperlink r:id="rId15" ref="E9"/>
    <hyperlink r:id="rId16" ref="E10"/>
    <hyperlink r:id="rId17" ref="I10"/>
    <hyperlink r:id="rId18" ref="E11"/>
    <hyperlink r:id="rId19" ref="I11"/>
    <hyperlink r:id="rId20" ref="E12"/>
    <hyperlink r:id="rId21" ref="I12"/>
    <hyperlink r:id="rId22" ref="E13"/>
    <hyperlink r:id="rId23" ref="I13"/>
    <hyperlink r:id="rId24" ref="E14"/>
    <hyperlink r:id="rId25" ref="I14"/>
    <hyperlink r:id="rId26" ref="E15"/>
    <hyperlink r:id="rId27" ref="I15"/>
    <hyperlink r:id="rId28" ref="I16"/>
    <hyperlink r:id="rId29" ref="E17"/>
    <hyperlink r:id="rId30" ref="I17"/>
    <hyperlink r:id="rId31" ref="E18"/>
    <hyperlink r:id="rId32" ref="I18"/>
    <hyperlink r:id="rId33" ref="E19"/>
    <hyperlink r:id="rId34" ref="I19"/>
    <hyperlink r:id="rId35" ref="E20"/>
    <hyperlink r:id="rId36" ref="I20"/>
    <hyperlink r:id="rId37" ref="E21"/>
    <hyperlink r:id="rId38" ref="J21"/>
    <hyperlink r:id="rId39" ref="E22"/>
    <hyperlink r:id="rId40" ref="E23"/>
    <hyperlink r:id="rId41" ref="E24"/>
    <hyperlink r:id="rId42" ref="I24"/>
    <hyperlink r:id="rId43" ref="E25"/>
    <hyperlink r:id="rId44" ref="I25"/>
    <hyperlink r:id="rId45" ref="E26"/>
    <hyperlink r:id="rId46" ref="I26"/>
    <hyperlink r:id="rId47" ref="E27"/>
    <hyperlink r:id="rId48" ref="I27"/>
    <hyperlink r:id="rId49" ref="E28"/>
    <hyperlink r:id="rId50" ref="I28"/>
    <hyperlink r:id="rId51" ref="E29"/>
    <hyperlink r:id="rId52" ref="I29"/>
    <hyperlink r:id="rId53" ref="E30"/>
    <hyperlink r:id="rId54" ref="I30"/>
    <hyperlink r:id="rId55" ref="E31"/>
    <hyperlink r:id="rId56" ref="I31"/>
    <hyperlink r:id="rId57" ref="E32"/>
    <hyperlink r:id="rId58" ref="I32"/>
    <hyperlink r:id="rId59" ref="E33"/>
    <hyperlink r:id="rId60" ref="I33"/>
    <hyperlink r:id="rId61" ref="E34"/>
    <hyperlink r:id="rId62" ref="I34"/>
    <hyperlink r:id="rId63" ref="E35"/>
    <hyperlink r:id="rId64" ref="I35"/>
    <hyperlink r:id="rId65" ref="E36"/>
    <hyperlink r:id="rId66" ref="I36"/>
    <hyperlink r:id="rId67" ref="E37"/>
    <hyperlink r:id="rId68" ref="I37"/>
    <hyperlink r:id="rId69" ref="E38"/>
    <hyperlink r:id="rId70" ref="I38"/>
    <hyperlink r:id="rId71" ref="E39"/>
    <hyperlink r:id="rId72" ref="I39"/>
    <hyperlink r:id="rId73" ref="E40"/>
    <hyperlink r:id="rId74" ref="I40"/>
    <hyperlink r:id="rId75" ref="E41"/>
    <hyperlink r:id="rId76" ref="I41"/>
    <hyperlink r:id="rId77" ref="I42"/>
    <hyperlink r:id="rId78" ref="E43"/>
    <hyperlink r:id="rId79" ref="I43"/>
    <hyperlink r:id="rId80" ref="I44"/>
    <hyperlink r:id="rId81" ref="I45"/>
    <hyperlink r:id="rId82" ref="E46"/>
    <hyperlink r:id="rId83" ref="I46"/>
    <hyperlink r:id="rId84" ref="I47"/>
    <hyperlink r:id="rId85" ref="E48"/>
    <hyperlink r:id="rId86" ref="E49"/>
    <hyperlink r:id="rId87" ref="I49"/>
    <hyperlink r:id="rId88" ref="E50"/>
    <hyperlink r:id="rId89" ref="I50"/>
    <hyperlink r:id="rId90" ref="E51"/>
    <hyperlink r:id="rId91" ref="I51"/>
    <hyperlink r:id="rId92" ref="I52"/>
    <hyperlink r:id="rId93" ref="E53"/>
    <hyperlink r:id="rId94" ref="I53"/>
    <hyperlink r:id="rId95" ref="I54"/>
    <hyperlink r:id="rId96" ref="I55"/>
  </hyperlinks>
  <drawing r:id="rId97"/>
</worksheet>
</file>