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ntos\Desktop\"/>
    </mc:Choice>
  </mc:AlternateContent>
  <workbookProtection workbookPassword="823E" lockStructure="1"/>
  <bookViews>
    <workbookView xWindow="0" yWindow="0" windowWidth="7470" windowHeight="2100" activeTab="1"/>
  </bookViews>
  <sheets>
    <sheet name="NOMES E SIGLAS DOS EVENTOS" sheetId="1" r:id="rId1"/>
    <sheet name="CE-ACPAD" sheetId="2" r:id="rId2"/>
    <sheet name="CE-CCI" sheetId="3" r:id="rId3"/>
    <sheet name="CE-ESC" sheetId="4" r:id="rId4"/>
    <sheet name="CE-GRAPI" sheetId="5" r:id="rId5"/>
    <sheet name="CE-RESD" sheetId="6" r:id="rId6"/>
    <sheet name="CE-R" sheetId="7" r:id="rId7"/>
    <sheet name="CE-SEG" sheetId="8" r:id="rId8"/>
    <sheet name="CE-TF" sheetId="9" r:id="rId9"/>
    <sheet name="CE-ES" sheetId="10" r:id="rId10"/>
    <sheet name="CE-LP" sheetId="11" r:id="rId11"/>
    <sheet name="CE-MF" sheetId="12" r:id="rId12"/>
    <sheet name="CE-ACO" sheetId="13" r:id="rId13"/>
    <sheet name="CE-BioComp" sheetId="14" r:id="rId14"/>
    <sheet name="CE-CM" sheetId="15" r:id="rId15"/>
    <sheet name="CE-IA" sheetId="16" r:id="rId16"/>
    <sheet name="CE-IC" sheetId="17" r:id="rId17"/>
    <sheet name="CE-IHC" sheetId="18" r:id="rId18"/>
    <sheet name="CE-PLN" sheetId="19" r:id="rId19"/>
    <sheet name="CE-SC" sheetId="20" r:id="rId20"/>
    <sheet name="CE-WEBMEDIA" sheetId="21" r:id="rId21"/>
    <sheet name="CE-RV" sheetId="22" r:id="rId22"/>
    <sheet name="CE-JOGOS" sheetId="23" r:id="rId23"/>
    <sheet name="CE-Geoinformática" sheetId="24" r:id="rId24"/>
    <sheet name="CE-CAS" sheetId="25" r:id="rId25"/>
    <sheet name="CE-IE" sheetId="26" r:id="rId26"/>
    <sheet name="CE-SI" sheetId="27" r:id="rId27"/>
    <sheet name="CE-BD" sheetId="28" r:id="rId28"/>
    <sheet name="GI-L" sheetId="29" r:id="rId29"/>
  </sheets>
  <definedNames>
    <definedName name="_xlnm._FilterDatabase" localSheetId="27" hidden="1">'CE-BD'!$A$1:$E$79</definedName>
  </definedNames>
  <calcPr calcId="162913"/>
</workbook>
</file>

<file path=xl/calcChain.xml><?xml version="1.0" encoding="utf-8"?>
<calcChain xmlns="http://schemas.openxmlformats.org/spreadsheetml/2006/main">
  <c r="A19" i="29" l="1"/>
  <c r="A3" i="29"/>
  <c r="A22" i="29"/>
  <c r="A6" i="29"/>
  <c r="A17" i="29"/>
  <c r="A1" i="29"/>
  <c r="A103" i="27"/>
  <c r="B9" i="29"/>
  <c r="A75" i="28"/>
  <c r="A59" i="28"/>
  <c r="C42" i="28"/>
  <c r="B26" i="28"/>
  <c r="D13" i="28"/>
  <c r="B1" i="28"/>
  <c r="E8" i="29"/>
  <c r="C71" i="28"/>
  <c r="B55" i="28"/>
  <c r="E38" i="28"/>
  <c r="E25" i="28"/>
  <c r="B13" i="28"/>
  <c r="C104" i="27"/>
  <c r="A76" i="28"/>
  <c r="B63" i="28"/>
  <c r="E49" i="28"/>
  <c r="A37" i="28"/>
  <c r="A24" i="28"/>
  <c r="C11" i="28"/>
  <c r="A101" i="27"/>
  <c r="E58" i="28"/>
  <c r="B7" i="28"/>
  <c r="B81" i="27"/>
  <c r="E65" i="27"/>
  <c r="A53" i="27"/>
  <c r="D39" i="27"/>
  <c r="C26" i="27"/>
  <c r="A12" i="27"/>
  <c r="B74" i="28"/>
  <c r="C57" i="28"/>
  <c r="A40" i="28"/>
  <c r="C22" i="28"/>
  <c r="E5" i="28"/>
  <c r="D3" i="29"/>
  <c r="E65" i="28"/>
  <c r="D47" i="28"/>
  <c r="D30" i="28"/>
  <c r="A14" i="28"/>
  <c r="B17" i="29"/>
  <c r="E77" i="28"/>
  <c r="C51" i="28"/>
  <c r="D34" i="28"/>
  <c r="A17" i="28"/>
  <c r="B104" i="27"/>
  <c r="D48" i="28"/>
  <c r="C90" i="27"/>
  <c r="C67" i="27"/>
  <c r="C50" i="27"/>
  <c r="B32" i="27"/>
  <c r="D13" i="27"/>
  <c r="B8" i="29"/>
  <c r="A35" i="28"/>
  <c r="A93" i="27"/>
  <c r="A73" i="27"/>
  <c r="A60" i="27"/>
  <c r="A47" i="27"/>
  <c r="D33" i="27"/>
  <c r="B20" i="27"/>
  <c r="C10" i="29"/>
  <c r="E53" i="28"/>
  <c r="B30" i="28"/>
  <c r="B8" i="28"/>
  <c r="E2" i="29"/>
  <c r="C53" i="28"/>
  <c r="E29" i="28"/>
  <c r="B2" i="28"/>
  <c r="A77" i="28"/>
  <c r="A54" i="28"/>
  <c r="B31" i="28"/>
  <c r="D7" i="28"/>
  <c r="C55" i="28"/>
  <c r="B85" i="27"/>
  <c r="E57" i="27"/>
  <c r="D34" i="27"/>
  <c r="C10" i="27"/>
  <c r="C41" i="28"/>
  <c r="A89" i="27"/>
  <c r="D65" i="27"/>
  <c r="D48" i="27"/>
  <c r="B31" i="27"/>
  <c r="D12" i="27"/>
  <c r="B57" i="28"/>
  <c r="D5" i="28"/>
  <c r="C80" i="27"/>
  <c r="C65" i="27"/>
  <c r="D52" i="27"/>
  <c r="E71" i="27"/>
  <c r="B33" i="27"/>
  <c r="C73" i="28"/>
  <c r="C50" i="28"/>
  <c r="E27" i="28"/>
  <c r="A5" i="28"/>
  <c r="D79" i="28"/>
  <c r="B56" i="28"/>
  <c r="B33" i="28"/>
  <c r="E10" i="28"/>
  <c r="B1" i="29"/>
  <c r="D57" i="28"/>
  <c r="A33" i="28"/>
  <c r="D10" i="28"/>
  <c r="A1" i="28"/>
  <c r="D66" i="27"/>
  <c r="D43" i="27"/>
  <c r="C20" i="27"/>
  <c r="D67" i="28"/>
  <c r="C103" i="27"/>
  <c r="B72" i="27"/>
  <c r="B55" i="27"/>
  <c r="E37" i="27"/>
  <c r="C19" i="27"/>
  <c r="C76" i="28"/>
  <c r="C24" i="28"/>
  <c r="C88" i="27"/>
  <c r="C70" i="27"/>
  <c r="C57" i="27"/>
  <c r="C56" i="28"/>
  <c r="C52" i="27"/>
  <c r="C23" i="27"/>
  <c r="A1" i="27"/>
  <c r="A15" i="29"/>
  <c r="A16" i="29"/>
  <c r="A10" i="29"/>
  <c r="A13" i="29"/>
  <c r="A8" i="28"/>
  <c r="B13" i="29"/>
  <c r="E71" i="28"/>
  <c r="E48" i="28"/>
  <c r="C29" i="28"/>
  <c r="C10" i="28"/>
  <c r="D16" i="29"/>
  <c r="D74" i="28"/>
  <c r="C48" i="28"/>
  <c r="B32" i="28"/>
  <c r="C16" i="28"/>
  <c r="B14" i="29"/>
  <c r="D69" i="28"/>
  <c r="B53" i="28"/>
  <c r="E33" i="28"/>
  <c r="E17" i="28"/>
  <c r="A2" i="28"/>
  <c r="C45" i="28"/>
  <c r="A92" i="27"/>
  <c r="B69" i="27"/>
  <c r="D49" i="27"/>
  <c r="A33" i="27"/>
  <c r="B15" i="27"/>
  <c r="B70" i="28"/>
  <c r="A48" i="28"/>
  <c r="A27" i="28"/>
  <c r="C97" i="27"/>
  <c r="E73" i="28"/>
  <c r="D52" i="28"/>
  <c r="D26" i="28"/>
  <c r="C5" i="28"/>
  <c r="D2" i="29"/>
  <c r="C47" i="28"/>
  <c r="D25" i="28"/>
  <c r="C4" i="28"/>
  <c r="B29" i="28"/>
  <c r="B77" i="27"/>
  <c r="D54" i="27"/>
  <c r="A28" i="27"/>
  <c r="D5" i="27"/>
  <c r="E47" i="28"/>
  <c r="C87" i="27"/>
  <c r="C66" i="27"/>
  <c r="B50" i="27"/>
  <c r="C30" i="27"/>
  <c r="E21" i="8"/>
  <c r="E59" i="28"/>
  <c r="D24" i="28"/>
  <c r="C22" i="29"/>
  <c r="C59" i="28"/>
  <c r="B24" i="28"/>
  <c r="C9" i="29"/>
  <c r="B59" i="28"/>
  <c r="E24" i="28"/>
  <c r="A98" i="27"/>
  <c r="C94" i="27"/>
  <c r="A52" i="27"/>
  <c r="C22" i="27"/>
  <c r="A58" i="28"/>
  <c r="A81" i="27"/>
  <c r="D57" i="27"/>
  <c r="B35" i="27"/>
  <c r="C18" i="29"/>
  <c r="E30" i="28"/>
  <c r="A86" i="27"/>
  <c r="B62" i="27"/>
  <c r="A30" i="28"/>
  <c r="E39" i="27"/>
  <c r="E67" i="28"/>
  <c r="C38" i="28"/>
  <c r="B11" i="28"/>
  <c r="A73" i="28"/>
  <c r="C44" i="28"/>
  <c r="D15" i="28"/>
  <c r="C74" i="28"/>
  <c r="A45" i="28"/>
  <c r="B16" i="28"/>
  <c r="B89" i="27"/>
  <c r="C55" i="27"/>
  <c r="D25" i="27"/>
  <c r="A51" i="28"/>
  <c r="A85" i="27"/>
  <c r="B59" i="27"/>
  <c r="E32" i="27"/>
  <c r="A11" i="27"/>
  <c r="C37" i="28"/>
  <c r="B83" i="27"/>
  <c r="E63" i="27"/>
  <c r="D47" i="27"/>
  <c r="A43" i="27"/>
  <c r="B9" i="27"/>
  <c r="C19" i="26"/>
  <c r="E6" i="26"/>
  <c r="B84" i="27"/>
  <c r="D37" i="27"/>
  <c r="A10" i="27"/>
  <c r="B24" i="26"/>
  <c r="D10" i="26"/>
  <c r="B23" i="25"/>
  <c r="C73" i="27"/>
  <c r="A34" i="27"/>
  <c r="D7" i="27"/>
  <c r="E75" i="28"/>
  <c r="D28" i="28"/>
  <c r="B7" i="29"/>
  <c r="C40" i="28"/>
  <c r="B15" i="29"/>
  <c r="C35" i="28"/>
  <c r="E74" i="28"/>
  <c r="E61" i="27"/>
  <c r="C14" i="27"/>
  <c r="B86" i="27"/>
  <c r="E47" i="27"/>
  <c r="E11" i="27"/>
  <c r="C2" i="28"/>
  <c r="D64" i="27"/>
  <c r="C85" i="27"/>
  <c r="E13" i="27"/>
  <c r="A21" i="26"/>
  <c r="C4" i="26"/>
  <c r="C51" i="27"/>
  <c r="B13" i="27"/>
  <c r="B12" i="26"/>
  <c r="D23" i="28"/>
  <c r="C37" i="27"/>
  <c r="C4" i="27"/>
  <c r="D13" i="26"/>
  <c r="B1" i="26"/>
  <c r="C33" i="27"/>
  <c r="D72" i="28"/>
  <c r="C25" i="28"/>
  <c r="C4" i="29"/>
  <c r="B37" i="28"/>
  <c r="E11" i="29"/>
  <c r="B44" i="28"/>
  <c r="A62" i="28"/>
  <c r="B60" i="27"/>
  <c r="B11" i="27"/>
  <c r="C83" i="27"/>
  <c r="C45" i="27"/>
  <c r="B10" i="27"/>
  <c r="C99" i="27"/>
  <c r="A63" i="27"/>
  <c r="A75" i="27"/>
  <c r="B12" i="27"/>
  <c r="D15" i="26"/>
  <c r="E39" i="28"/>
  <c r="B39" i="27"/>
  <c r="D4" i="27"/>
  <c r="C11" i="26"/>
  <c r="A11" i="28"/>
  <c r="D35" i="27"/>
  <c r="A2" i="27"/>
  <c r="E12" i="26"/>
  <c r="A22" i="25"/>
  <c r="E23" i="28"/>
  <c r="D11" i="28"/>
  <c r="E16" i="29"/>
  <c r="D21" i="27"/>
  <c r="E60" i="27"/>
  <c r="B95" i="27"/>
  <c r="D68" i="27"/>
  <c r="E14" i="26"/>
  <c r="E35" i="27"/>
  <c r="E9" i="26"/>
  <c r="C32" i="27"/>
  <c r="B18" i="26"/>
  <c r="A40" i="27"/>
  <c r="B19" i="25"/>
  <c r="E6" i="25"/>
  <c r="C19" i="24"/>
  <c r="A7" i="24"/>
  <c r="E14" i="23"/>
  <c r="C2" i="23"/>
  <c r="E29" i="21"/>
  <c r="A17" i="21"/>
  <c r="B4" i="21"/>
  <c r="B19" i="20"/>
  <c r="E31" i="27"/>
  <c r="C18" i="25"/>
  <c r="E2" i="25"/>
  <c r="C18" i="24"/>
  <c r="A6" i="24"/>
  <c r="D7" i="23"/>
  <c r="B35" i="21"/>
  <c r="C22" i="21"/>
  <c r="A22" i="27"/>
  <c r="A7" i="25"/>
  <c r="C10" i="24"/>
  <c r="D2" i="23"/>
  <c r="B18" i="21"/>
  <c r="C1" i="21"/>
  <c r="B11" i="20"/>
  <c r="A14" i="27"/>
  <c r="B28" i="24"/>
  <c r="C14" i="23"/>
  <c r="C29" i="21"/>
  <c r="C9" i="21"/>
  <c r="B20" i="20"/>
  <c r="B43" i="28"/>
  <c r="B54" i="28"/>
  <c r="E37" i="28"/>
  <c r="A42" i="27"/>
  <c r="C75" i="27"/>
  <c r="C7" i="29"/>
  <c r="E59" i="27"/>
  <c r="B8" i="27"/>
  <c r="E1" i="28"/>
  <c r="C2" i="27"/>
  <c r="B21" i="25"/>
  <c r="C11" i="27"/>
  <c r="E4" i="26"/>
  <c r="D8" i="26"/>
  <c r="A6" i="25"/>
  <c r="C21" i="24"/>
  <c r="B6" i="24"/>
  <c r="A14" i="23"/>
  <c r="E1" i="23"/>
  <c r="E25" i="21"/>
  <c r="A13" i="21"/>
  <c r="C25" i="20"/>
  <c r="C72" i="28"/>
  <c r="D4" i="26"/>
  <c r="C11" i="25"/>
  <c r="B33" i="24"/>
  <c r="D11" i="24"/>
  <c r="B18" i="23"/>
  <c r="E6" i="23"/>
  <c r="C34" i="21"/>
  <c r="D21" i="21"/>
  <c r="C23" i="26"/>
  <c r="D5" i="25"/>
  <c r="D18" i="23"/>
  <c r="E34" i="21"/>
  <c r="E12" i="21"/>
  <c r="C19" i="20"/>
  <c r="A4" i="20"/>
  <c r="A5" i="25"/>
  <c r="B8" i="24"/>
  <c r="D6" i="23"/>
  <c r="C21" i="21"/>
  <c r="A4" i="21"/>
  <c r="C14" i="29"/>
  <c r="C82" i="27"/>
  <c r="C34" i="27"/>
  <c r="E3" i="27"/>
  <c r="A23" i="26"/>
  <c r="C21" i="26"/>
  <c r="A18" i="26"/>
  <c r="B30" i="24"/>
  <c r="B10" i="23"/>
  <c r="A4" i="29"/>
  <c r="A8" i="29"/>
  <c r="A12" i="29"/>
  <c r="E5" i="29"/>
  <c r="B62" i="28"/>
  <c r="A36" i="28"/>
  <c r="C7" i="28"/>
  <c r="C5" i="29"/>
  <c r="D58" i="28"/>
  <c r="A29" i="28"/>
  <c r="A7" i="28"/>
  <c r="E72" i="28"/>
  <c r="D46" i="28"/>
  <c r="B27" i="28"/>
  <c r="B5" i="28"/>
  <c r="C32" i="28"/>
  <c r="A76" i="27"/>
  <c r="B56" i="27"/>
  <c r="E29" i="27"/>
  <c r="C8" i="29"/>
  <c r="A53" i="28"/>
  <c r="C18" i="28"/>
  <c r="D13" i="29"/>
  <c r="A57" i="28"/>
  <c r="A22" i="28"/>
  <c r="D12" i="29"/>
  <c r="A56" i="28"/>
  <c r="E21" i="28"/>
  <c r="B2" i="29"/>
  <c r="A84" i="27"/>
  <c r="D45" i="27"/>
  <c r="C18" i="27"/>
  <c r="B61" i="28"/>
  <c r="B82" i="27"/>
  <c r="E56" i="27"/>
  <c r="E36" i="27"/>
  <c r="B16" i="29"/>
  <c r="D41" i="28"/>
  <c r="D2" i="28"/>
  <c r="E46" i="28"/>
  <c r="E7" i="28"/>
  <c r="D65" i="28"/>
  <c r="C19" i="28"/>
  <c r="E35" i="28"/>
  <c r="B64" i="27"/>
  <c r="A16" i="27"/>
  <c r="C6" i="28"/>
  <c r="D61" i="27"/>
  <c r="B26" i="27"/>
  <c r="A70" i="28"/>
  <c r="B91" i="27"/>
  <c r="A59" i="27"/>
  <c r="E58" i="27"/>
  <c r="C12" i="29"/>
  <c r="D33" i="28"/>
  <c r="C19" i="29"/>
  <c r="A50" i="28"/>
  <c r="D4" i="28"/>
  <c r="C62" i="28"/>
  <c r="D22" i="28"/>
  <c r="A80" i="27"/>
  <c r="A38" i="27"/>
  <c r="B3" i="27"/>
  <c r="B78" i="27"/>
  <c r="B46" i="27"/>
  <c r="B14" i="27"/>
  <c r="E11" i="28"/>
  <c r="D73" i="27"/>
  <c r="E50" i="27"/>
  <c r="C36" i="27"/>
  <c r="D27" i="26"/>
  <c r="A10" i="26"/>
  <c r="D67" i="27"/>
  <c r="C24" i="27"/>
  <c r="A28" i="26"/>
  <c r="C7" i="26"/>
  <c r="D36" i="28"/>
  <c r="D40" i="27"/>
  <c r="C3" i="27"/>
  <c r="B51" i="28"/>
  <c r="B22" i="29"/>
  <c r="B28" i="28"/>
  <c r="C58" i="28"/>
  <c r="C1" i="28"/>
  <c r="B51" i="27"/>
  <c r="B38" i="28"/>
  <c r="A56" i="27"/>
  <c r="E79" i="28"/>
  <c r="B79" i="27"/>
  <c r="B69" i="28"/>
  <c r="A7" i="27"/>
  <c r="C12" i="26"/>
  <c r="A71" i="27"/>
  <c r="E6" i="27"/>
  <c r="D3" i="26"/>
  <c r="E45" i="27"/>
  <c r="A24" i="26"/>
  <c r="B7" i="26"/>
  <c r="D72" i="27"/>
  <c r="D60" i="28"/>
  <c r="C3" i="28"/>
  <c r="B49" i="28"/>
  <c r="D78" i="28"/>
  <c r="B20" i="28"/>
  <c r="E70" i="27"/>
  <c r="C64" i="28"/>
  <c r="C62" i="27"/>
  <c r="B18" i="27"/>
  <c r="B87" i="27"/>
  <c r="A50" i="27"/>
  <c r="E21" i="27"/>
  <c r="D11" i="26"/>
  <c r="C64" i="27"/>
  <c r="D11" i="27"/>
  <c r="D6" i="26"/>
  <c r="B57" i="27"/>
  <c r="D8" i="27"/>
  <c r="D9" i="26"/>
  <c r="C69" i="28"/>
  <c r="A34" i="28"/>
  <c r="A4" i="28"/>
  <c r="A19" i="28"/>
  <c r="D40" i="28"/>
  <c r="D31" i="27"/>
  <c r="E26" i="28"/>
  <c r="C18" i="26"/>
  <c r="D14" i="27"/>
  <c r="A2" i="29"/>
  <c r="A21" i="29"/>
  <c r="A104" i="27"/>
  <c r="C65" i="28"/>
  <c r="A23" i="28"/>
  <c r="A99" i="27"/>
  <c r="A65" i="28"/>
  <c r="E22" i="28"/>
  <c r="C3" i="29"/>
  <c r="E56" i="28"/>
  <c r="A21" i="28"/>
  <c r="D5" i="29"/>
  <c r="C86" i="27"/>
  <c r="C46" i="27"/>
  <c r="D19" i="27"/>
  <c r="C61" i="28"/>
  <c r="C14" i="28"/>
  <c r="E69" i="28"/>
  <c r="E34" i="28"/>
  <c r="E7" i="29"/>
  <c r="D38" i="28"/>
  <c r="C96" i="27"/>
  <c r="D71" i="27"/>
  <c r="A37" i="27"/>
  <c r="A74" i="28"/>
  <c r="A77" i="27"/>
  <c r="C43" i="27"/>
  <c r="E15" i="27"/>
  <c r="E36" i="28"/>
  <c r="B76" i="28"/>
  <c r="C12" i="28"/>
  <c r="B48" i="28"/>
  <c r="E2" i="28"/>
  <c r="A70" i="27"/>
  <c r="E4" i="27"/>
  <c r="D74" i="27"/>
  <c r="C39" i="27"/>
  <c r="E43" i="28"/>
  <c r="A72" i="27"/>
  <c r="A91" i="27"/>
  <c r="A63" i="28"/>
  <c r="A16" i="28"/>
  <c r="D62" i="28"/>
  <c r="C20" i="29"/>
  <c r="C39" i="28"/>
  <c r="B42" i="28"/>
  <c r="C31" i="27"/>
  <c r="E15" i="28"/>
  <c r="A51" i="27"/>
  <c r="C11" i="29"/>
  <c r="A94" i="27"/>
  <c r="B54" i="27"/>
  <c r="A30" i="27"/>
  <c r="C16" i="26"/>
  <c r="B14" i="28"/>
  <c r="C16" i="27"/>
  <c r="A17" i="26"/>
  <c r="B10" i="29"/>
  <c r="C27" i="27"/>
  <c r="D7" i="29"/>
  <c r="D6" i="28"/>
  <c r="B17" i="28"/>
  <c r="B23" i="28"/>
  <c r="A74" i="27"/>
  <c r="B3" i="28"/>
  <c r="D29" i="27"/>
  <c r="A90" i="27"/>
  <c r="D55" i="27"/>
  <c r="C26" i="26"/>
  <c r="A95" i="27"/>
  <c r="B26" i="26"/>
  <c r="A83" i="27"/>
  <c r="E9" i="27"/>
  <c r="A4" i="26"/>
  <c r="B21" i="26"/>
  <c r="B15" i="28"/>
  <c r="A25" i="28"/>
  <c r="A55" i="28"/>
  <c r="A88" i="27"/>
  <c r="C28" i="28"/>
  <c r="A36" i="27"/>
  <c r="C21" i="28"/>
  <c r="A43" i="28"/>
  <c r="D25" i="26"/>
  <c r="C89" i="27"/>
  <c r="C25" i="26"/>
  <c r="D75" i="28"/>
  <c r="B16" i="27"/>
  <c r="C6" i="26"/>
  <c r="C1" i="29"/>
  <c r="A41" i="28"/>
  <c r="C79" i="27"/>
  <c r="C61" i="27"/>
  <c r="A6" i="26"/>
  <c r="A2" i="26"/>
  <c r="B27" i="26"/>
  <c r="A3" i="27"/>
  <c r="B13" i="25"/>
  <c r="B22" i="24"/>
  <c r="A4" i="24"/>
  <c r="D8" i="23"/>
  <c r="A33" i="21"/>
  <c r="E13" i="21"/>
  <c r="D26" i="20"/>
  <c r="C69" i="27"/>
  <c r="B15" i="25"/>
  <c r="C24" i="24"/>
  <c r="B9" i="24"/>
  <c r="C4" i="23"/>
  <c r="E28" i="21"/>
  <c r="E27" i="26"/>
  <c r="A1" i="25"/>
  <c r="A15" i="23"/>
  <c r="D23" i="21"/>
  <c r="B25" i="20"/>
  <c r="E4" i="20"/>
  <c r="C6" i="25"/>
  <c r="B8" i="23"/>
  <c r="A18" i="21"/>
  <c r="A25" i="20"/>
  <c r="E20" i="28"/>
  <c r="D8" i="28"/>
  <c r="A65" i="27"/>
  <c r="C58" i="27"/>
  <c r="C92" i="27"/>
  <c r="C28" i="27"/>
  <c r="A58" i="27"/>
  <c r="A14" i="29"/>
  <c r="A102" i="27"/>
  <c r="B52" i="28"/>
  <c r="E16" i="28"/>
  <c r="B68" i="28"/>
  <c r="D19" i="28"/>
  <c r="C66" i="28"/>
  <c r="C30" i="28"/>
  <c r="D71" i="28"/>
  <c r="D62" i="27"/>
  <c r="B23" i="27"/>
  <c r="A44" i="28"/>
  <c r="B18" i="29"/>
  <c r="D39" i="28"/>
  <c r="D73" i="28"/>
  <c r="A13" i="28"/>
  <c r="C101" i="27"/>
  <c r="A24" i="27"/>
  <c r="D9" i="28"/>
  <c r="D53" i="27"/>
  <c r="B3" i="29"/>
  <c r="E12" i="28"/>
  <c r="C36" i="28"/>
  <c r="E41" i="28"/>
  <c r="B10" i="28"/>
  <c r="A29" i="27"/>
  <c r="D70" i="27"/>
  <c r="A17" i="27"/>
  <c r="B75" i="27"/>
  <c r="D46" i="27"/>
  <c r="E44" i="28"/>
  <c r="C67" i="28"/>
  <c r="C13" i="29"/>
  <c r="A6" i="28"/>
  <c r="E48" i="27"/>
  <c r="C91" i="27"/>
  <c r="E28" i="27"/>
  <c r="B103" i="27"/>
  <c r="E4" i="28"/>
  <c r="A5" i="27"/>
  <c r="A66" i="28"/>
  <c r="E5" i="27"/>
  <c r="B4" i="26"/>
  <c r="C47" i="27"/>
  <c r="E63" i="28"/>
  <c r="C63" i="28"/>
  <c r="E45" i="28"/>
  <c r="E38" i="27"/>
  <c r="E64" i="27"/>
  <c r="D27" i="28"/>
  <c r="B38" i="27"/>
  <c r="C8" i="26"/>
  <c r="E22" i="27"/>
  <c r="D63" i="27"/>
  <c r="E16" i="26"/>
  <c r="C7" i="27"/>
  <c r="C17" i="29"/>
  <c r="A3" i="28"/>
  <c r="D16" i="28"/>
  <c r="B97" i="27"/>
  <c r="B73" i="28"/>
  <c r="D56" i="27"/>
  <c r="C20" i="26"/>
  <c r="C29" i="27"/>
  <c r="E2" i="26"/>
  <c r="C22" i="26"/>
  <c r="C6" i="29"/>
  <c r="A64" i="28"/>
  <c r="D42" i="27"/>
  <c r="D10" i="27"/>
  <c r="D3" i="27"/>
  <c r="A12" i="26"/>
  <c r="A1" i="26"/>
  <c r="C25" i="24"/>
  <c r="B1" i="24"/>
  <c r="C39" i="21"/>
  <c r="B20" i="21"/>
  <c r="D22" i="20"/>
  <c r="D20" i="26"/>
  <c r="A34" i="24"/>
  <c r="B3" i="24"/>
  <c r="C38" i="21"/>
  <c r="D15" i="27"/>
  <c r="C22" i="24"/>
  <c r="C36" i="21"/>
  <c r="C5" i="21"/>
  <c r="E1" i="20"/>
  <c r="E3" i="24"/>
  <c r="A23" i="21"/>
  <c r="C15" i="20"/>
  <c r="B77" i="28"/>
  <c r="A96" i="27"/>
  <c r="A41" i="27"/>
  <c r="D17" i="29"/>
  <c r="B5" i="26"/>
  <c r="E17" i="26"/>
  <c r="E30" i="27"/>
  <c r="B92" i="27"/>
  <c r="C12" i="25"/>
  <c r="A31" i="24"/>
  <c r="C3" i="24"/>
  <c r="E7" i="23"/>
  <c r="A29" i="21"/>
  <c r="E9" i="21"/>
  <c r="C18" i="20"/>
  <c r="C17" i="26"/>
  <c r="B8" i="25"/>
  <c r="C20" i="24"/>
  <c r="C2" i="24"/>
  <c r="E3" i="23"/>
  <c r="A28" i="21"/>
  <c r="C9" i="27"/>
  <c r="B27" i="24"/>
  <c r="B7" i="23"/>
  <c r="B17" i="21"/>
  <c r="D14" i="20"/>
  <c r="D17" i="25"/>
  <c r="B14" i="24"/>
  <c r="D40" i="21"/>
  <c r="D12" i="21"/>
  <c r="C34" i="28"/>
  <c r="E33" i="27"/>
  <c r="A55" i="27"/>
  <c r="D27" i="27"/>
  <c r="E8" i="26"/>
  <c r="C8" i="25"/>
  <c r="C16" i="23"/>
  <c r="D18" i="21"/>
  <c r="A14" i="20"/>
  <c r="E13" i="25"/>
  <c r="E10" i="24"/>
  <c r="E36" i="21"/>
  <c r="B5" i="27"/>
  <c r="A4" i="25"/>
  <c r="A16" i="21"/>
  <c r="C6" i="20"/>
  <c r="A25" i="24"/>
  <c r="E15" i="21"/>
  <c r="B10" i="20"/>
  <c r="A23" i="19"/>
  <c r="C5" i="19"/>
  <c r="A29" i="13"/>
  <c r="A17" i="13"/>
  <c r="B22" i="26"/>
  <c r="C12" i="24"/>
  <c r="E4" i="23"/>
  <c r="D15" i="21"/>
  <c r="B27" i="20"/>
  <c r="B9" i="20"/>
  <c r="B25" i="19"/>
  <c r="D7" i="19"/>
  <c r="A32" i="13"/>
  <c r="F11" i="24"/>
  <c r="E5" i="20"/>
  <c r="E4" i="19"/>
  <c r="B18" i="13"/>
  <c r="D19" i="12"/>
  <c r="C7" i="12"/>
  <c r="D77" i="28"/>
  <c r="B19" i="29"/>
  <c r="D30" i="27"/>
  <c r="C60" i="28"/>
  <c r="B28" i="26"/>
  <c r="A5" i="26"/>
  <c r="A8" i="26"/>
  <c r="D7" i="25"/>
  <c r="A17" i="24"/>
  <c r="B3" i="23"/>
  <c r="E17" i="21"/>
  <c r="A20" i="20"/>
  <c r="A13" i="25"/>
  <c r="A16" i="24"/>
  <c r="B2" i="23"/>
  <c r="B53" i="27"/>
  <c r="C2" i="25"/>
  <c r="B25" i="21"/>
  <c r="C12" i="20"/>
  <c r="C23" i="24"/>
  <c r="D24" i="21"/>
  <c r="C13" i="20"/>
  <c r="A29" i="19"/>
  <c r="B12" i="19"/>
  <c r="A36" i="13"/>
  <c r="E21" i="13"/>
  <c r="A35" i="27"/>
  <c r="E7" i="25"/>
  <c r="B11" i="24"/>
  <c r="C3" i="23"/>
  <c r="E18" i="21"/>
  <c r="E1" i="21"/>
  <c r="C8" i="20"/>
  <c r="C24" i="19"/>
  <c r="E6" i="19"/>
  <c r="B27" i="13"/>
  <c r="E31" i="21"/>
  <c r="D27" i="19"/>
  <c r="A34" i="13"/>
  <c r="B7" i="13"/>
  <c r="D12" i="12"/>
  <c r="C37" i="9"/>
  <c r="A52" i="28"/>
  <c r="C17" i="28"/>
  <c r="E62" i="28"/>
  <c r="C33" i="24"/>
  <c r="D34" i="21"/>
  <c r="D20" i="28"/>
  <c r="A6" i="23"/>
  <c r="C20" i="21"/>
  <c r="A27" i="26"/>
  <c r="D32" i="21"/>
  <c r="B2" i="20"/>
  <c r="E3" i="19"/>
  <c r="B10" i="13"/>
  <c r="D3" i="24"/>
  <c r="B9" i="21"/>
  <c r="B27" i="19"/>
  <c r="D33" i="13"/>
  <c r="E6" i="21"/>
  <c r="C16" i="13"/>
  <c r="B3" i="12"/>
  <c r="E25" i="9"/>
  <c r="B11" i="9"/>
  <c r="E51" i="8"/>
  <c r="A39" i="8"/>
  <c r="C26" i="8"/>
  <c r="E12" i="8"/>
  <c r="A7" i="13"/>
  <c r="A40" i="9"/>
  <c r="B13" i="9"/>
  <c r="C44" i="8"/>
  <c r="D20" i="8"/>
  <c r="E38" i="9"/>
  <c r="C39" i="8"/>
  <c r="C33" i="21"/>
  <c r="D17" i="13"/>
  <c r="B33" i="9"/>
  <c r="D36" i="21"/>
  <c r="C21" i="19"/>
  <c r="E27" i="13"/>
  <c r="C8" i="13"/>
  <c r="C2" i="12"/>
  <c r="D15" i="9"/>
  <c r="A38" i="8"/>
  <c r="D8" i="8"/>
  <c r="A20" i="12"/>
  <c r="A22" i="9"/>
  <c r="A41" i="8"/>
  <c r="C4" i="8"/>
  <c r="C3" i="20"/>
  <c r="A15" i="12"/>
  <c r="E26" i="9"/>
  <c r="A15" i="24"/>
  <c r="B1" i="20"/>
  <c r="C2" i="19"/>
  <c r="B2" i="13"/>
  <c r="A11" i="29"/>
  <c r="A9" i="29"/>
  <c r="C78" i="28"/>
  <c r="B4" i="28"/>
  <c r="A42" i="28"/>
  <c r="C79" i="28"/>
  <c r="D14" i="28"/>
  <c r="B98" i="27"/>
  <c r="B36" i="27"/>
  <c r="B35" i="28"/>
  <c r="A61" i="28"/>
  <c r="D1" i="28"/>
  <c r="B9" i="28"/>
  <c r="D58" i="27"/>
  <c r="B22" i="28"/>
  <c r="B40" i="27"/>
  <c r="A18" i="29"/>
  <c r="C21" i="29"/>
  <c r="B39" i="28"/>
  <c r="A78" i="28"/>
  <c r="A10" i="28"/>
  <c r="C43" i="28"/>
  <c r="B21" i="29"/>
  <c r="C59" i="27"/>
  <c r="B79" i="28"/>
  <c r="E9" i="28"/>
  <c r="A18" i="28"/>
  <c r="D42" i="28"/>
  <c r="C13" i="28"/>
  <c r="D9" i="27"/>
  <c r="E69" i="27"/>
  <c r="E23" i="27"/>
  <c r="C15" i="29"/>
  <c r="B4" i="29"/>
  <c r="B78" i="28"/>
  <c r="C77" i="28"/>
  <c r="C44" i="27"/>
  <c r="A97" i="27"/>
  <c r="D26" i="27"/>
  <c r="C102" i="27"/>
  <c r="B21" i="28"/>
  <c r="C68" i="28"/>
  <c r="B7" i="27"/>
  <c r="E41" i="27"/>
  <c r="A78" i="27"/>
  <c r="B65" i="27"/>
  <c r="E3" i="26"/>
  <c r="D1" i="27"/>
  <c r="C93" i="27"/>
  <c r="A26" i="26"/>
  <c r="E50" i="28"/>
  <c r="A26" i="28"/>
  <c r="E73" i="27"/>
  <c r="B71" i="27"/>
  <c r="E1" i="27"/>
  <c r="D32" i="27"/>
  <c r="B29" i="27"/>
  <c r="A23" i="25"/>
  <c r="D37" i="28"/>
  <c r="B67" i="28"/>
  <c r="C35" i="27"/>
  <c r="E27" i="27"/>
  <c r="A49" i="27"/>
  <c r="A3" i="26"/>
  <c r="C15" i="26"/>
  <c r="A19" i="26"/>
  <c r="E57" i="28"/>
  <c r="B12" i="29"/>
  <c r="C24" i="26"/>
  <c r="A54" i="27"/>
  <c r="E11" i="26"/>
  <c r="B16" i="24"/>
  <c r="E11" i="23"/>
  <c r="C23" i="21"/>
  <c r="A16" i="20"/>
  <c r="B12" i="25"/>
  <c r="A12" i="24"/>
  <c r="A32" i="21"/>
  <c r="C19" i="25"/>
  <c r="E8" i="23"/>
  <c r="C20" i="20"/>
  <c r="E12" i="25"/>
  <c r="E35" i="21"/>
  <c r="D11" i="29"/>
  <c r="B5" i="29"/>
  <c r="D12" i="28"/>
  <c r="A62" i="27"/>
  <c r="E14" i="27"/>
  <c r="D50" i="27"/>
  <c r="E26" i="27"/>
  <c r="A3" i="25"/>
  <c r="C9" i="24"/>
  <c r="D4" i="23"/>
  <c r="C19" i="21"/>
  <c r="E21" i="20"/>
  <c r="C22" i="25"/>
  <c r="A2" i="25"/>
  <c r="C5" i="24"/>
  <c r="E40" i="21"/>
  <c r="C81" i="27"/>
  <c r="E11" i="25"/>
  <c r="B1" i="23"/>
  <c r="C4" i="21"/>
  <c r="A1" i="20"/>
  <c r="B2" i="24"/>
  <c r="E27" i="21"/>
  <c r="E1" i="29"/>
  <c r="C54" i="28"/>
  <c r="E10" i="26"/>
  <c r="B24" i="27"/>
  <c r="B2" i="25"/>
  <c r="C31" i="21"/>
  <c r="A21" i="20"/>
  <c r="C7" i="25"/>
  <c r="B9" i="23"/>
  <c r="A66" i="27"/>
  <c r="B13" i="24"/>
  <c r="E22" i="20"/>
  <c r="C3" i="25"/>
  <c r="B7" i="21"/>
  <c r="E3" i="20"/>
  <c r="A9" i="19"/>
  <c r="E25" i="13"/>
  <c r="C11" i="13"/>
  <c r="B31" i="24"/>
  <c r="C32" i="21"/>
  <c r="A7" i="21"/>
  <c r="A13" i="20"/>
  <c r="A22" i="19"/>
  <c r="C1" i="19"/>
  <c r="A15" i="25"/>
  <c r="B29" i="19"/>
  <c r="C28" i="13"/>
  <c r="D2" i="13"/>
  <c r="D4" i="12"/>
  <c r="B11" i="29"/>
  <c r="C78" i="27"/>
  <c r="A82" i="27"/>
  <c r="B74" i="27"/>
  <c r="E20" i="26"/>
  <c r="D1" i="25"/>
  <c r="D15" i="23"/>
  <c r="B24" i="21"/>
  <c r="B13" i="20"/>
  <c r="C28" i="24"/>
  <c r="C8" i="23"/>
  <c r="B1" i="27"/>
  <c r="C10" i="23"/>
  <c r="D21" i="20"/>
  <c r="C11" i="24"/>
  <c r="B6" i="21"/>
  <c r="A3" i="20"/>
  <c r="E7" i="19"/>
  <c r="B28" i="13"/>
  <c r="C13" i="13"/>
  <c r="E1" i="25"/>
  <c r="E15" i="23"/>
  <c r="C24" i="21"/>
  <c r="B26" i="20"/>
  <c r="A2" i="20"/>
  <c r="C10" i="19"/>
  <c r="E23" i="13"/>
  <c r="C17" i="20"/>
  <c r="B3" i="19"/>
  <c r="D4" i="13"/>
  <c r="E6" i="12"/>
  <c r="B75" i="28"/>
  <c r="E13" i="29"/>
  <c r="B15" i="26"/>
  <c r="A7" i="23"/>
  <c r="C28" i="26"/>
  <c r="E20" i="21"/>
  <c r="D9" i="20"/>
  <c r="D11" i="21"/>
  <c r="A21" i="19"/>
  <c r="C15" i="13"/>
  <c r="B14" i="23"/>
  <c r="D7" i="20"/>
  <c r="E2" i="19"/>
  <c r="B17" i="19"/>
  <c r="E14" i="12"/>
  <c r="A29" i="9"/>
  <c r="B8" i="9"/>
  <c r="C45" i="8"/>
  <c r="D29" i="8"/>
  <c r="D9" i="8"/>
  <c r="D8" i="12"/>
  <c r="D19" i="9"/>
  <c r="E38" i="8"/>
  <c r="B10" i="8"/>
  <c r="E53" i="8"/>
  <c r="E9" i="20"/>
  <c r="A19" i="12"/>
  <c r="D10" i="24"/>
  <c r="C11" i="19"/>
  <c r="B17" i="13"/>
  <c r="E10" i="12"/>
  <c r="C6" i="9"/>
  <c r="A27" i="8"/>
  <c r="E15" i="13"/>
  <c r="A13" i="9"/>
  <c r="B25" i="8"/>
  <c r="E7" i="21"/>
  <c r="E9" i="12"/>
  <c r="C11" i="9"/>
  <c r="A15" i="20"/>
  <c r="A35" i="13"/>
  <c r="C8" i="12"/>
  <c r="A1" i="9"/>
  <c r="A22" i="8"/>
  <c r="B24" i="19"/>
  <c r="E12" i="12"/>
  <c r="C18" i="9"/>
  <c r="A32" i="8"/>
  <c r="E40" i="8"/>
  <c r="D49" i="8"/>
  <c r="B5" i="9"/>
  <c r="C7" i="8"/>
  <c r="B9" i="12"/>
  <c r="B20" i="9"/>
  <c r="D38" i="8"/>
  <c r="A2" i="8"/>
  <c r="D13" i="12"/>
  <c r="B24" i="9"/>
  <c r="A9" i="24"/>
  <c r="D10" i="20"/>
  <c r="A1" i="19"/>
  <c r="D5" i="13"/>
  <c r="D28" i="9"/>
  <c r="E45" i="8"/>
  <c r="C12" i="8"/>
  <c r="A15" i="19"/>
  <c r="A9" i="12"/>
  <c r="E16" i="9"/>
  <c r="A29" i="8"/>
  <c r="D37" i="8"/>
  <c r="C46" i="8"/>
  <c r="B2" i="9"/>
  <c r="B4" i="8"/>
  <c r="A57" i="27"/>
  <c r="E19" i="27"/>
  <c r="D2" i="26"/>
  <c r="A27" i="24"/>
  <c r="B28" i="21"/>
  <c r="A18" i="27"/>
  <c r="A26" i="24"/>
  <c r="B27" i="21"/>
  <c r="B7" i="24"/>
  <c r="A39" i="28"/>
  <c r="B96" i="27"/>
  <c r="C49" i="28"/>
  <c r="B6" i="23"/>
  <c r="C23" i="20"/>
  <c r="B19" i="24"/>
  <c r="D59" i="28"/>
  <c r="B19" i="21"/>
  <c r="D16" i="26"/>
  <c r="A31" i="21"/>
  <c r="D1" i="20"/>
  <c r="A3" i="19"/>
  <c r="D9" i="13"/>
  <c r="C26" i="24"/>
  <c r="C40" i="21"/>
  <c r="B23" i="20"/>
  <c r="A18" i="19"/>
  <c r="D25" i="13"/>
  <c r="A9" i="20"/>
  <c r="D8" i="13"/>
  <c r="A8" i="12"/>
  <c r="B28" i="9"/>
  <c r="B14" i="9"/>
  <c r="A7" i="29"/>
  <c r="D45" i="28"/>
  <c r="D35" i="28"/>
  <c r="C8" i="28"/>
  <c r="E8" i="27"/>
  <c r="D43" i="28"/>
  <c r="B65" i="28"/>
  <c r="A20" i="29"/>
  <c r="A20" i="28"/>
  <c r="E3" i="28"/>
  <c r="E19" i="28"/>
  <c r="B66" i="28"/>
  <c r="C9" i="28"/>
  <c r="C63" i="27"/>
  <c r="B63" i="27"/>
  <c r="B19" i="28"/>
  <c r="B71" i="28"/>
  <c r="B47" i="27"/>
  <c r="E52" i="27"/>
  <c r="E68" i="27"/>
  <c r="D56" i="28"/>
  <c r="C27" i="28"/>
  <c r="B73" i="27"/>
  <c r="A68" i="27"/>
  <c r="B50" i="28"/>
  <c r="C15" i="27"/>
  <c r="A44" i="27"/>
  <c r="C1" i="26"/>
  <c r="E40" i="28"/>
  <c r="C70" i="28"/>
  <c r="A4" i="27"/>
  <c r="B58" i="27"/>
  <c r="E52" i="28"/>
  <c r="B20" i="25"/>
  <c r="A19" i="25"/>
  <c r="B60" i="28"/>
  <c r="A48" i="27"/>
  <c r="A47" i="28"/>
  <c r="A6" i="27"/>
  <c r="B19" i="26"/>
  <c r="A16" i="26"/>
  <c r="C68" i="27"/>
  <c r="C48" i="27"/>
  <c r="C1" i="27"/>
  <c r="A10" i="25"/>
  <c r="E17" i="23"/>
  <c r="D10" i="21"/>
  <c r="B6" i="27"/>
  <c r="B15" i="24"/>
  <c r="D25" i="21"/>
  <c r="C16" i="24"/>
  <c r="D9" i="21"/>
  <c r="E9" i="24"/>
  <c r="B5" i="21"/>
  <c r="C31" i="28"/>
  <c r="A23" i="27"/>
  <c r="A14" i="26"/>
  <c r="B88" i="27"/>
  <c r="E25" i="26"/>
  <c r="C15" i="24"/>
  <c r="A11" i="23"/>
  <c r="B16" i="21"/>
  <c r="C56" i="27"/>
  <c r="B5" i="25"/>
  <c r="B16" i="23"/>
  <c r="B31" i="21"/>
  <c r="A18" i="25"/>
  <c r="C28" i="21"/>
  <c r="C10" i="20"/>
  <c r="B20" i="24"/>
  <c r="E16" i="21"/>
  <c r="C52" i="28"/>
  <c r="E44" i="27"/>
  <c r="A21" i="25"/>
  <c r="D5" i="24"/>
  <c r="E5" i="21"/>
  <c r="C1" i="25"/>
  <c r="C30" i="21"/>
  <c r="D16" i="25"/>
  <c r="D13" i="20"/>
  <c r="A39" i="21"/>
  <c r="A7" i="20"/>
  <c r="B2" i="19"/>
  <c r="E19" i="13"/>
  <c r="B3" i="25"/>
  <c r="A26" i="21"/>
  <c r="B22" i="20"/>
  <c r="E28" i="19"/>
  <c r="C35" i="13"/>
  <c r="B15" i="21"/>
  <c r="B36" i="13"/>
  <c r="C16" i="12"/>
  <c r="D34" i="9"/>
  <c r="D3" i="28"/>
  <c r="C53" i="27"/>
  <c r="E66" i="27"/>
  <c r="A15" i="26"/>
  <c r="C9" i="23"/>
  <c r="A5" i="21"/>
  <c r="D6" i="25"/>
  <c r="A36" i="21"/>
  <c r="E14" i="25"/>
  <c r="C6" i="21"/>
  <c r="E9" i="23"/>
  <c r="C9" i="20"/>
  <c r="A17" i="19"/>
  <c r="A25" i="13"/>
  <c r="C21" i="25"/>
  <c r="A5" i="24"/>
  <c r="C14" i="21"/>
  <c r="D16" i="20"/>
  <c r="B15" i="19"/>
  <c r="E8" i="25"/>
  <c r="A20" i="19"/>
  <c r="A10" i="13"/>
  <c r="B1" i="12"/>
  <c r="E51" i="27"/>
  <c r="D6" i="27"/>
  <c r="E21" i="21"/>
  <c r="C32" i="24"/>
  <c r="E27" i="20"/>
  <c r="A18" i="20"/>
  <c r="C27" i="13"/>
  <c r="A28" i="24"/>
  <c r="C1" i="20"/>
  <c r="B24" i="24"/>
  <c r="B9" i="13"/>
  <c r="C22" i="9"/>
  <c r="A2" i="9"/>
  <c r="D32" i="8"/>
  <c r="C6" i="8"/>
  <c r="D33" i="9"/>
  <c r="E50" i="8"/>
  <c r="D4" i="8"/>
  <c r="A5" i="29"/>
  <c r="A60" i="28"/>
  <c r="A31" i="28"/>
  <c r="B41" i="27"/>
  <c r="A71" i="28"/>
  <c r="C16" i="29"/>
  <c r="C40" i="27"/>
  <c r="E3" i="29"/>
  <c r="B20" i="29"/>
  <c r="A68" i="28"/>
  <c r="E12" i="27"/>
  <c r="D63" i="28"/>
  <c r="B23" i="26"/>
  <c r="B20" i="26"/>
  <c r="A13" i="27"/>
  <c r="B12" i="28"/>
  <c r="C21" i="27"/>
  <c r="B17" i="26"/>
  <c r="A19" i="27"/>
  <c r="D49" i="28"/>
  <c r="B99" i="27"/>
  <c r="C76" i="27"/>
  <c r="B48" i="27"/>
  <c r="E25" i="27"/>
  <c r="D44" i="27"/>
  <c r="B19" i="27"/>
  <c r="C16" i="25"/>
  <c r="C5" i="23"/>
  <c r="B1" i="21"/>
  <c r="B21" i="24"/>
  <c r="B43" i="27"/>
  <c r="A30" i="21"/>
  <c r="B10" i="26"/>
  <c r="A1" i="21"/>
  <c r="B17" i="27"/>
  <c r="A22" i="26"/>
  <c r="B25" i="26"/>
  <c r="B9" i="25"/>
  <c r="A17" i="23"/>
  <c r="D6" i="21"/>
  <c r="E17" i="25"/>
  <c r="C8" i="24"/>
  <c r="E24" i="21"/>
  <c r="E2" i="24"/>
  <c r="A24" i="20"/>
  <c r="A18" i="23"/>
  <c r="A19" i="20"/>
  <c r="C84" i="27"/>
  <c r="A20" i="27"/>
  <c r="A25" i="21"/>
  <c r="C20" i="25"/>
  <c r="A24" i="21"/>
  <c r="E26" i="21"/>
  <c r="C11" i="23"/>
  <c r="B26" i="19"/>
  <c r="A33" i="13"/>
  <c r="C9" i="25"/>
  <c r="E19" i="21"/>
  <c r="A6" i="20"/>
  <c r="C4" i="19"/>
  <c r="A22" i="20"/>
  <c r="C14" i="13"/>
  <c r="C38" i="9"/>
  <c r="D44" i="28"/>
  <c r="B9" i="26"/>
  <c r="C12" i="27"/>
  <c r="A37" i="21"/>
  <c r="C38" i="27"/>
  <c r="D14" i="23"/>
  <c r="A24" i="24"/>
  <c r="D41" i="27"/>
  <c r="C21" i="20"/>
  <c r="D4" i="19"/>
  <c r="B16" i="13"/>
  <c r="B17" i="24"/>
  <c r="B10" i="21"/>
  <c r="A28" i="19"/>
  <c r="C30" i="13"/>
  <c r="A10" i="19"/>
  <c r="D15" i="12"/>
  <c r="A8" i="27"/>
  <c r="D11" i="25"/>
  <c r="C24" i="20"/>
  <c r="B3" i="21"/>
  <c r="D8" i="20"/>
  <c r="C9" i="26"/>
  <c r="B15" i="20"/>
  <c r="D10" i="23"/>
  <c r="C36" i="9"/>
  <c r="A5" i="9"/>
  <c r="B23" i="8"/>
  <c r="B13" i="12"/>
  <c r="A4" i="9"/>
  <c r="B21" i="9"/>
  <c r="E2" i="8"/>
  <c r="D7" i="12"/>
  <c r="A5" i="20"/>
  <c r="D21" i="13"/>
  <c r="B35" i="9"/>
  <c r="B45" i="8"/>
  <c r="A26" i="13"/>
  <c r="D4" i="9"/>
  <c r="B4" i="25"/>
  <c r="E2" i="13"/>
  <c r="B18" i="25"/>
  <c r="C18" i="19"/>
  <c r="E16" i="12"/>
  <c r="D46" i="8"/>
  <c r="D3" i="8"/>
  <c r="A2" i="13"/>
  <c r="A12" i="9"/>
  <c r="D6" i="8"/>
  <c r="B9" i="9"/>
  <c r="D45" i="8"/>
  <c r="D1" i="13"/>
  <c r="E27" i="9"/>
  <c r="D30" i="8"/>
  <c r="B20" i="13"/>
  <c r="E34" i="9"/>
  <c r="E18" i="23"/>
  <c r="A16" i="19"/>
  <c r="B12" i="13"/>
  <c r="C19" i="9"/>
  <c r="D27" i="8"/>
  <c r="E5" i="23"/>
  <c r="A2" i="12"/>
  <c r="D1" i="9"/>
  <c r="C50" i="8"/>
  <c r="D33" i="8"/>
  <c r="E29" i="8"/>
  <c r="E28" i="28"/>
  <c r="D18" i="26"/>
  <c r="C5" i="26"/>
  <c r="A1" i="23"/>
  <c r="B2" i="26"/>
  <c r="B12" i="23"/>
  <c r="A32" i="24"/>
  <c r="C6" i="27"/>
  <c r="E7" i="27"/>
  <c r="E10" i="25"/>
  <c r="A87" i="27"/>
  <c r="B5" i="23"/>
  <c r="A4" i="23"/>
  <c r="A8" i="25"/>
  <c r="A17" i="20"/>
  <c r="E9" i="19"/>
  <c r="B3" i="26"/>
  <c r="A2" i="24"/>
  <c r="A8" i="21"/>
  <c r="C8" i="19"/>
  <c r="B4" i="23"/>
  <c r="B15" i="13"/>
  <c r="D2" i="12"/>
  <c r="D21" i="9"/>
  <c r="B4" i="9"/>
  <c r="D44" i="8"/>
  <c r="E31" i="8"/>
  <c r="C18" i="8"/>
  <c r="D5" i="8"/>
  <c r="C19" i="12"/>
  <c r="E32" i="9"/>
  <c r="E8" i="9"/>
  <c r="C36" i="8"/>
  <c r="B14" i="8"/>
  <c r="C6" i="12"/>
  <c r="B48" i="8"/>
  <c r="A12" i="21"/>
  <c r="E6" i="13"/>
  <c r="C13" i="26"/>
  <c r="B15" i="23"/>
  <c r="A27" i="19"/>
  <c r="C33" i="13"/>
  <c r="C12" i="13"/>
  <c r="C9" i="12"/>
  <c r="C20" i="9"/>
  <c r="D43" i="8"/>
  <c r="A15" i="8"/>
  <c r="C17" i="27"/>
  <c r="D23" i="27"/>
  <c r="D3" i="23"/>
  <c r="C38" i="13"/>
  <c r="C6" i="23"/>
  <c r="E12" i="19"/>
  <c r="A24" i="19"/>
  <c r="A33" i="9"/>
  <c r="E5" i="9"/>
  <c r="C33" i="8"/>
  <c r="B7" i="8"/>
  <c r="E5" i="12"/>
  <c r="C52" i="8"/>
  <c r="B6" i="8"/>
  <c r="D23" i="8"/>
  <c r="C3" i="13"/>
  <c r="B8" i="20"/>
  <c r="C4" i="13"/>
  <c r="E46" i="8"/>
  <c r="B29" i="13"/>
  <c r="D18" i="9"/>
  <c r="D32" i="13"/>
  <c r="A16" i="9"/>
  <c r="B23" i="19"/>
  <c r="A36" i="9"/>
  <c r="E18" i="8"/>
  <c r="B6" i="12"/>
  <c r="E25" i="8"/>
  <c r="B43" i="8"/>
  <c r="B1" i="8"/>
  <c r="C2" i="26"/>
  <c r="E18" i="26"/>
  <c r="D27" i="20"/>
  <c r="A31" i="13"/>
  <c r="C34" i="24"/>
  <c r="C13" i="21"/>
  <c r="A6" i="19"/>
  <c r="A8" i="19"/>
  <c r="B40" i="9"/>
  <c r="E9" i="9"/>
  <c r="C37" i="8"/>
  <c r="B11" i="8"/>
  <c r="A3" i="12"/>
  <c r="C48" i="8"/>
  <c r="B24" i="20"/>
  <c r="C29" i="19"/>
  <c r="E23" i="21"/>
  <c r="A19" i="21"/>
  <c r="A11" i="25"/>
  <c r="E22" i="19"/>
  <c r="E2" i="9"/>
  <c r="A4" i="8"/>
  <c r="B33" i="8"/>
  <c r="A12" i="23"/>
  <c r="C7" i="19"/>
  <c r="C30" i="9"/>
  <c r="E11" i="8"/>
  <c r="A31" i="9"/>
  <c r="D6" i="20"/>
  <c r="A7" i="26"/>
  <c r="C28" i="19"/>
  <c r="B4" i="12"/>
  <c r="E6" i="8"/>
  <c r="C39" i="9"/>
  <c r="A44" i="8"/>
  <c r="C23" i="8"/>
  <c r="C30" i="24"/>
  <c r="C15" i="19"/>
  <c r="B38" i="13"/>
  <c r="C27" i="9"/>
  <c r="A28" i="8"/>
  <c r="E23" i="9"/>
  <c r="B30" i="9"/>
  <c r="C11" i="20"/>
  <c r="D29" i="9"/>
  <c r="C5" i="8"/>
  <c r="C25" i="9"/>
  <c r="C13" i="24"/>
  <c r="D22" i="9"/>
  <c r="C2" i="29"/>
  <c r="B40" i="28"/>
  <c r="E78" i="28"/>
  <c r="B2" i="27"/>
  <c r="B47" i="28"/>
  <c r="B36" i="28"/>
  <c r="B25" i="28"/>
  <c r="B18" i="28"/>
  <c r="D21" i="28"/>
  <c r="D50" i="28"/>
  <c r="D31" i="28"/>
  <c r="A67" i="27"/>
  <c r="B13" i="26"/>
  <c r="E13" i="26"/>
  <c r="D17" i="28"/>
  <c r="B93" i="27"/>
  <c r="D53" i="28"/>
  <c r="E40" i="27"/>
  <c r="A20" i="26"/>
  <c r="B72" i="28"/>
  <c r="E24" i="27"/>
  <c r="D69" i="27"/>
  <c r="B21" i="27"/>
  <c r="C3" i="26"/>
  <c r="C25" i="27"/>
  <c r="B22" i="25"/>
  <c r="E3" i="25"/>
  <c r="B36" i="21"/>
  <c r="B12" i="20"/>
  <c r="E13" i="23"/>
  <c r="D12" i="26"/>
  <c r="A14" i="21"/>
  <c r="C19" i="23"/>
  <c r="A67" i="28"/>
  <c r="D1" i="29"/>
  <c r="B34" i="27"/>
  <c r="D17" i="26"/>
  <c r="B34" i="24"/>
  <c r="C35" i="21"/>
  <c r="C3" i="21"/>
  <c r="C14" i="25"/>
  <c r="A13" i="23"/>
  <c r="D36" i="27"/>
  <c r="C13" i="23"/>
  <c r="B7" i="20"/>
  <c r="E12" i="23"/>
  <c r="A46" i="28"/>
  <c r="A79" i="27"/>
  <c r="D14" i="25"/>
  <c r="B12" i="21"/>
  <c r="B29" i="24"/>
  <c r="B46" i="28"/>
  <c r="D7" i="21"/>
  <c r="B26" i="21"/>
  <c r="B18" i="19"/>
  <c r="D22" i="13"/>
  <c r="C6" i="24"/>
  <c r="B11" i="21"/>
  <c r="E2" i="20"/>
  <c r="A28" i="13"/>
  <c r="C22" i="19"/>
  <c r="B5" i="13"/>
  <c r="E31" i="28"/>
  <c r="B67" i="27"/>
  <c r="A26" i="27"/>
  <c r="C29" i="24"/>
  <c r="D30" i="21"/>
  <c r="A11" i="26"/>
  <c r="D29" i="21"/>
  <c r="A38" i="21"/>
  <c r="B14" i="25"/>
  <c r="B6" i="20"/>
  <c r="D1" i="19"/>
  <c r="E15" i="26"/>
  <c r="D9" i="23"/>
  <c r="A6" i="21"/>
  <c r="C20" i="19"/>
  <c r="E16" i="23"/>
  <c r="C17" i="13"/>
  <c r="D9" i="12"/>
  <c r="A15" i="28"/>
  <c r="D8" i="24"/>
  <c r="D10" i="25"/>
  <c r="D9" i="25"/>
  <c r="B28" i="19"/>
  <c r="B6" i="25"/>
  <c r="B19" i="19"/>
  <c r="E1" i="19"/>
  <c r="B32" i="9"/>
  <c r="D48" i="8"/>
  <c r="B19" i="8"/>
  <c r="A5" i="12"/>
  <c r="D31" i="8"/>
  <c r="E7" i="9"/>
  <c r="C17" i="19"/>
  <c r="D28" i="27"/>
  <c r="D28" i="19"/>
  <c r="B13" i="13"/>
  <c r="A28" i="9"/>
  <c r="C32" i="8"/>
  <c r="B11" i="12"/>
  <c r="E49" i="8"/>
  <c r="C7" i="24"/>
  <c r="E2" i="12"/>
  <c r="C1" i="23"/>
  <c r="B9" i="19"/>
  <c r="E31" i="9"/>
  <c r="E37" i="8"/>
  <c r="D3" i="21"/>
  <c r="C3" i="12"/>
  <c r="C4" i="9"/>
  <c r="D53" i="8"/>
  <c r="E36" i="8"/>
  <c r="E32" i="8"/>
  <c r="C18" i="12"/>
  <c r="D11" i="9"/>
  <c r="E22" i="8"/>
  <c r="C9" i="13"/>
  <c r="D17" i="9"/>
  <c r="A35" i="21"/>
  <c r="B7" i="19"/>
  <c r="B15" i="12"/>
  <c r="E10" i="9"/>
  <c r="D19" i="8"/>
  <c r="C19" i="13"/>
  <c r="C32" i="9"/>
  <c r="D41" i="8"/>
  <c r="A25" i="8"/>
  <c r="A21" i="8"/>
  <c r="A17" i="8"/>
  <c r="B94" i="27"/>
  <c r="A46" i="27"/>
  <c r="C5" i="25"/>
  <c r="C15" i="21"/>
  <c r="A17" i="25"/>
  <c r="A40" i="21"/>
  <c r="B33" i="21"/>
  <c r="C49" i="27"/>
  <c r="A13" i="26"/>
  <c r="E33" i="21"/>
  <c r="A25" i="26"/>
  <c r="E32" i="21"/>
  <c r="B2" i="21"/>
  <c r="B5" i="24"/>
  <c r="E7" i="20"/>
  <c r="E33" i="13"/>
  <c r="C17" i="25"/>
  <c r="D12" i="23"/>
  <c r="B14" i="20"/>
  <c r="A2" i="19"/>
  <c r="C2" i="21"/>
  <c r="B3" i="13"/>
  <c r="C35" i="9"/>
  <c r="B18" i="9"/>
  <c r="C1" i="9"/>
  <c r="C41" i="8"/>
  <c r="E28" i="8"/>
  <c r="B15" i="8"/>
  <c r="C2" i="8"/>
  <c r="C12" i="12"/>
  <c r="D25" i="9"/>
  <c r="D2" i="9"/>
  <c r="E30" i="8"/>
  <c r="C9" i="8"/>
  <c r="B34" i="9"/>
  <c r="D34" i="8"/>
  <c r="B10" i="19"/>
  <c r="C17" i="12"/>
  <c r="B7" i="25"/>
  <c r="B30" i="21"/>
  <c r="A19" i="19"/>
  <c r="B26" i="13"/>
  <c r="C6" i="13"/>
  <c r="A1" i="12"/>
  <c r="A14" i="9"/>
  <c r="B37" i="8"/>
  <c r="A7" i="8"/>
  <c r="E46" i="27"/>
  <c r="E5" i="24"/>
  <c r="A2" i="21"/>
  <c r="B23" i="13"/>
  <c r="B21" i="21"/>
  <c r="A37" i="13"/>
  <c r="B19" i="13"/>
  <c r="D26" i="9"/>
  <c r="D52" i="8"/>
  <c r="B27" i="8"/>
  <c r="A1" i="8"/>
  <c r="C34" i="9"/>
  <c r="D39" i="8"/>
  <c r="B12" i="12"/>
  <c r="B5" i="8"/>
  <c r="D38" i="9"/>
  <c r="C13" i="19"/>
  <c r="B38" i="9"/>
  <c r="A34" i="8"/>
  <c r="B11" i="13"/>
  <c r="A53" i="8"/>
  <c r="A6" i="13"/>
  <c r="E5" i="25"/>
  <c r="D5" i="19"/>
  <c r="A17" i="9"/>
  <c r="E1" i="26"/>
  <c r="A30" i="9"/>
  <c r="E6" i="9"/>
  <c r="E17" i="8"/>
  <c r="A9" i="28"/>
  <c r="B26" i="24"/>
  <c r="D16" i="23"/>
  <c r="C5" i="20"/>
  <c r="C18" i="13"/>
  <c r="D9" i="24"/>
  <c r="E19" i="20"/>
  <c r="D29" i="13"/>
  <c r="C32" i="13"/>
  <c r="D30" i="9"/>
  <c r="D3" i="9"/>
  <c r="A31" i="8"/>
  <c r="E4" i="8"/>
  <c r="B31" i="9"/>
  <c r="E34" i="8"/>
  <c r="B12" i="9"/>
  <c r="B14" i="12"/>
  <c r="C13" i="27"/>
  <c r="D4" i="20"/>
  <c r="A8" i="24"/>
  <c r="A30" i="13"/>
  <c r="A43" i="8"/>
  <c r="A10" i="12"/>
  <c r="A11" i="8"/>
  <c r="C36" i="13"/>
  <c r="C24" i="13"/>
  <c r="C16" i="9"/>
  <c r="B33" i="13"/>
  <c r="C9" i="9"/>
  <c r="A27" i="13"/>
  <c r="A21" i="24"/>
  <c r="A4" i="19"/>
  <c r="C24" i="9"/>
  <c r="C16" i="21"/>
  <c r="A21" i="9"/>
  <c r="D2" i="8"/>
  <c r="B66" i="27"/>
  <c r="B3" i="20"/>
  <c r="E12" i="13"/>
  <c r="D25" i="19"/>
  <c r="C13" i="9"/>
  <c r="C14" i="8"/>
  <c r="B53" i="8"/>
  <c r="B29" i="8"/>
  <c r="A25" i="19"/>
  <c r="E11" i="9"/>
  <c r="E22" i="13"/>
  <c r="A7" i="9"/>
  <c r="E27" i="19"/>
  <c r="E12" i="29"/>
  <c r="E60" i="28"/>
  <c r="B64" i="28"/>
  <c r="C95" i="27"/>
  <c r="B6" i="29"/>
  <c r="A64" i="27"/>
  <c r="E54" i="27"/>
  <c r="C75" i="28"/>
  <c r="D51" i="27"/>
  <c r="C10" i="26"/>
  <c r="C71" i="27"/>
  <c r="C77" i="27"/>
  <c r="C74" i="27"/>
  <c r="A13" i="24"/>
  <c r="E7" i="26"/>
  <c r="C13" i="25"/>
  <c r="A2" i="23"/>
  <c r="B34" i="28"/>
  <c r="B11" i="26"/>
  <c r="B32" i="21"/>
  <c r="A30" i="24"/>
  <c r="B6" i="26"/>
  <c r="B11" i="25"/>
  <c r="E6" i="28"/>
  <c r="E11" i="24"/>
  <c r="C15" i="23"/>
  <c r="C98" i="27"/>
  <c r="A13" i="19"/>
  <c r="B17" i="23"/>
  <c r="C16" i="19"/>
  <c r="C12" i="19"/>
  <c r="E42" i="28"/>
  <c r="D22" i="27"/>
  <c r="C11" i="21"/>
  <c r="B23" i="21"/>
  <c r="C37" i="21"/>
  <c r="B32" i="13"/>
  <c r="B37" i="21"/>
  <c r="D3" i="19"/>
  <c r="D13" i="13"/>
  <c r="A9" i="27"/>
  <c r="D33" i="21"/>
  <c r="A11" i="19"/>
  <c r="D9" i="19"/>
  <c r="A19" i="9"/>
  <c r="A16" i="8"/>
  <c r="D24" i="8"/>
  <c r="B34" i="13"/>
  <c r="B4" i="19"/>
  <c r="B22" i="9"/>
  <c r="A38" i="9"/>
  <c r="B20" i="19"/>
  <c r="C17" i="21"/>
  <c r="E22" i="9"/>
  <c r="B22" i="13"/>
  <c r="E44" i="8"/>
  <c r="B24" i="8"/>
  <c r="D3" i="12"/>
  <c r="D11" i="8"/>
  <c r="B4" i="27"/>
  <c r="B31" i="13"/>
  <c r="B52" i="8"/>
  <c r="E8" i="13"/>
  <c r="B16" i="8"/>
  <c r="B8" i="8"/>
  <c r="A15" i="27"/>
  <c r="D2" i="24"/>
  <c r="C4" i="25"/>
  <c r="E11" i="21"/>
  <c r="C5" i="27"/>
  <c r="E9" i="25"/>
  <c r="E26" i="20"/>
  <c r="C27" i="19"/>
  <c r="E4" i="25"/>
  <c r="E6" i="20"/>
  <c r="C14" i="19"/>
  <c r="C31" i="9"/>
  <c r="A51" i="8"/>
  <c r="D25" i="8"/>
  <c r="E10" i="13"/>
  <c r="A18" i="9"/>
  <c r="E23" i="8"/>
  <c r="B16" i="9"/>
  <c r="B30" i="13"/>
  <c r="A29" i="24"/>
  <c r="C9" i="19"/>
  <c r="C2" i="13"/>
  <c r="E4" i="9"/>
  <c r="D1" i="8"/>
  <c r="C2" i="20"/>
  <c r="A12" i="13"/>
  <c r="C22" i="13"/>
  <c r="E19" i="9"/>
  <c r="A20" i="8"/>
  <c r="C21" i="9"/>
  <c r="A27" i="9"/>
  <c r="E2" i="23"/>
  <c r="A23" i="9"/>
  <c r="A7" i="12"/>
  <c r="E19" i="12"/>
  <c r="E18" i="13"/>
  <c r="D20" i="21"/>
  <c r="C34" i="8"/>
  <c r="B90" i="27"/>
  <c r="B18" i="20"/>
  <c r="C8" i="27"/>
  <c r="C4" i="20"/>
  <c r="D12" i="13"/>
  <c r="B50" i="8"/>
  <c r="A9" i="13"/>
  <c r="B22" i="8"/>
  <c r="C28" i="9"/>
  <c r="E23" i="19"/>
  <c r="E29" i="9"/>
  <c r="E28" i="9"/>
  <c r="C23" i="9"/>
  <c r="D47" i="8"/>
  <c r="D42" i="8"/>
  <c r="B22" i="21"/>
  <c r="A49" i="8"/>
  <c r="A48" i="8"/>
  <c r="E16" i="20"/>
  <c r="E22" i="21"/>
  <c r="C53" i="8"/>
  <c r="D28" i="8"/>
  <c r="E5" i="19"/>
  <c r="B6" i="13"/>
  <c r="D18" i="13"/>
  <c r="B21" i="19"/>
  <c r="B2" i="12"/>
  <c r="C10" i="25"/>
  <c r="D35" i="9"/>
  <c r="B31" i="8"/>
  <c r="E13" i="8"/>
  <c r="B40" i="21"/>
  <c r="C26" i="20"/>
  <c r="E18" i="20"/>
  <c r="C6" i="19"/>
  <c r="A9" i="9"/>
  <c r="C10" i="8"/>
  <c r="A46" i="8"/>
  <c r="B13" i="8"/>
  <c r="C18" i="21"/>
  <c r="A18" i="13"/>
  <c r="D24" i="9"/>
  <c r="A8" i="23"/>
  <c r="A11" i="9"/>
  <c r="B1" i="9"/>
  <c r="D50" i="8"/>
  <c r="A20" i="9"/>
  <c r="D28" i="13"/>
  <c r="E52" i="8"/>
  <c r="A5" i="23"/>
  <c r="A18" i="12"/>
  <c r="A6" i="8"/>
  <c r="A45" i="8"/>
  <c r="C7" i="23"/>
  <c r="D1" i="24"/>
  <c r="B47" i="8"/>
  <c r="A12" i="20"/>
  <c r="E17" i="12"/>
  <c r="C29" i="13"/>
  <c r="D23" i="9"/>
  <c r="C40" i="9"/>
  <c r="D8" i="9"/>
  <c r="B35" i="8"/>
  <c r="D4" i="25"/>
  <c r="B36" i="9"/>
  <c r="E18" i="9"/>
  <c r="A26" i="8"/>
  <c r="C27" i="24"/>
  <c r="B6" i="9"/>
  <c r="D22" i="8"/>
  <c r="A100" i="27"/>
  <c r="E13" i="28"/>
  <c r="A28" i="28"/>
  <c r="C60" i="27"/>
  <c r="E14" i="28"/>
  <c r="C46" i="28"/>
  <c r="E10" i="23"/>
  <c r="B16" i="20"/>
  <c r="C27" i="26"/>
  <c r="E14" i="20"/>
  <c r="A22" i="21"/>
  <c r="E5" i="26"/>
  <c r="D1" i="26"/>
  <c r="A14" i="13"/>
  <c r="E62" i="27"/>
  <c r="C13" i="12"/>
  <c r="A22" i="24"/>
  <c r="C25" i="19"/>
  <c r="B21" i="20"/>
  <c r="A11" i="21"/>
  <c r="C18" i="23"/>
  <c r="B29" i="21"/>
  <c r="B42" i="8"/>
  <c r="B21" i="8"/>
  <c r="A3" i="13"/>
  <c r="B32" i="8"/>
  <c r="C21" i="13"/>
  <c r="A34" i="9"/>
  <c r="C2" i="9"/>
  <c r="B13" i="21"/>
  <c r="E7" i="12"/>
  <c r="B25" i="9"/>
  <c r="A12" i="28"/>
  <c r="D2" i="21"/>
  <c r="E8" i="28"/>
  <c r="C23" i="25"/>
  <c r="C20" i="13"/>
  <c r="E32" i="13"/>
  <c r="C10" i="9"/>
  <c r="A12" i="8"/>
  <c r="B49" i="8"/>
  <c r="A18" i="8"/>
  <c r="A10" i="21"/>
  <c r="A32" i="9"/>
  <c r="D14" i="21"/>
  <c r="E3" i="21"/>
  <c r="B46" i="8"/>
  <c r="A1" i="13"/>
  <c r="A38" i="13"/>
  <c r="B36" i="8"/>
  <c r="A3" i="24"/>
  <c r="B15" i="9"/>
  <c r="C12" i="23"/>
  <c r="B19" i="23"/>
  <c r="A24" i="9"/>
  <c r="B17" i="9"/>
  <c r="B44" i="8"/>
  <c r="D8" i="25"/>
  <c r="B30" i="8"/>
  <c r="D11" i="13"/>
  <c r="D27" i="13"/>
  <c r="B8" i="19"/>
  <c r="A19" i="24"/>
  <c r="E1" i="8"/>
  <c r="A42" i="8"/>
  <c r="E8" i="21"/>
  <c r="E41" i="8"/>
  <c r="C38" i="8"/>
  <c r="B39" i="21"/>
  <c r="E28" i="13"/>
  <c r="D36" i="8"/>
  <c r="E16" i="13"/>
  <c r="B1" i="19"/>
  <c r="C40" i="8"/>
  <c r="B16" i="19"/>
  <c r="D6" i="19"/>
  <c r="C14" i="9"/>
  <c r="E4" i="21"/>
  <c r="D35" i="8"/>
  <c r="A4" i="12"/>
  <c r="A36" i="8"/>
  <c r="C3" i="19"/>
  <c r="A27" i="21"/>
  <c r="E13" i="20"/>
  <c r="C5" i="13"/>
  <c r="E25" i="19"/>
  <c r="E42" i="27"/>
  <c r="B49" i="27"/>
  <c r="A61" i="27"/>
  <c r="A21" i="27"/>
  <c r="B8" i="26"/>
  <c r="D7" i="26"/>
  <c r="C33" i="28"/>
  <c r="D1" i="23"/>
  <c r="C15" i="28"/>
  <c r="A19" i="23"/>
  <c r="D8" i="21"/>
  <c r="C8" i="21"/>
  <c r="B14" i="26"/>
  <c r="C14" i="20"/>
  <c r="B38" i="21"/>
  <c r="C41" i="27"/>
  <c r="A10" i="24"/>
  <c r="B22" i="19"/>
  <c r="B23" i="24"/>
  <c r="A69" i="28"/>
  <c r="C17" i="23"/>
  <c r="E35" i="8"/>
  <c r="B9" i="8"/>
  <c r="A17" i="12"/>
  <c r="E14" i="8"/>
  <c r="A13" i="13"/>
  <c r="A14" i="8"/>
  <c r="B45" i="28"/>
  <c r="D29" i="28"/>
  <c r="B41" i="28"/>
  <c r="B22" i="27"/>
  <c r="A38" i="28"/>
  <c r="D24" i="27"/>
  <c r="A31" i="27"/>
  <c r="B6" i="28"/>
  <c r="A25" i="27"/>
  <c r="E17" i="29"/>
  <c r="C54" i="27"/>
  <c r="E43" i="27"/>
  <c r="B61" i="27"/>
  <c r="B10" i="24"/>
  <c r="A9" i="25"/>
  <c r="B4" i="24"/>
  <c r="D13" i="21"/>
  <c r="E72" i="27"/>
  <c r="C15" i="25"/>
  <c r="D22" i="21"/>
  <c r="C14" i="24"/>
  <c r="E8" i="24"/>
  <c r="A33" i="24"/>
  <c r="A69" i="27"/>
  <c r="E37" i="21"/>
  <c r="A3" i="23"/>
  <c r="A16" i="25"/>
  <c r="B37" i="13"/>
  <c r="B11" i="23"/>
  <c r="A12" i="19"/>
  <c r="A22" i="13"/>
  <c r="A49" i="28"/>
  <c r="A20" i="25"/>
  <c r="C27" i="20"/>
  <c r="E49" i="27"/>
  <c r="E14" i="21"/>
  <c r="A19" i="13"/>
  <c r="E30" i="21"/>
  <c r="C34" i="13"/>
  <c r="E18" i="12"/>
  <c r="D14" i="26"/>
  <c r="D5" i="23"/>
  <c r="A21" i="13"/>
  <c r="C26" i="13"/>
  <c r="A15" i="9"/>
  <c r="B3" i="8"/>
  <c r="E15" i="8"/>
  <c r="A8" i="13"/>
  <c r="B35" i="13"/>
  <c r="D51" i="8"/>
  <c r="C29" i="9"/>
  <c r="D23" i="13"/>
  <c r="C26" i="19"/>
  <c r="E13" i="9"/>
  <c r="A11" i="13"/>
  <c r="C19" i="8"/>
  <c r="C11" i="8"/>
  <c r="A35" i="9"/>
  <c r="D12" i="19"/>
  <c r="A12" i="25"/>
  <c r="D19" i="13"/>
  <c r="A37" i="8"/>
  <c r="C1" i="13"/>
  <c r="C3" i="8"/>
  <c r="C42" i="8"/>
  <c r="E67" i="27"/>
  <c r="B13" i="23"/>
  <c r="E1" i="24"/>
  <c r="A72" i="28"/>
  <c r="C14" i="26"/>
  <c r="D17" i="23"/>
  <c r="E8" i="20"/>
  <c r="C19" i="19"/>
  <c r="A14" i="24"/>
  <c r="A26" i="19"/>
  <c r="C23" i="13"/>
  <c r="A25" i="9"/>
  <c r="E47" i="8"/>
  <c r="C22" i="8"/>
  <c r="E5" i="13"/>
  <c r="C12" i="9"/>
  <c r="A19" i="8"/>
  <c r="C5" i="9"/>
  <c r="D15" i="13"/>
  <c r="C4" i="24"/>
  <c r="D2" i="19"/>
  <c r="B16" i="12"/>
  <c r="A50" i="8"/>
  <c r="E53" i="27"/>
  <c r="C17" i="24"/>
  <c r="A20" i="24"/>
  <c r="A27" i="20"/>
  <c r="D12" i="9"/>
  <c r="D13" i="8"/>
  <c r="B10" i="9"/>
  <c r="E1" i="9"/>
  <c r="D1" i="21"/>
  <c r="A8" i="9"/>
  <c r="C33" i="9"/>
  <c r="D31" i="9"/>
  <c r="E13" i="12"/>
  <c r="C7" i="13"/>
  <c r="E5" i="8"/>
  <c r="A39" i="27"/>
  <c r="A20" i="21"/>
  <c r="D12" i="25"/>
  <c r="D23" i="19"/>
  <c r="B1" i="13"/>
  <c r="E43" i="8"/>
  <c r="C11" i="12"/>
  <c r="C13" i="8"/>
  <c r="B1" i="25"/>
  <c r="E17" i="13"/>
  <c r="D16" i="9"/>
  <c r="D5" i="9"/>
  <c r="A26" i="20"/>
  <c r="C29" i="8"/>
  <c r="B17" i="8"/>
  <c r="C7" i="20"/>
  <c r="E26" i="8"/>
  <c r="A13" i="8"/>
  <c r="A1" i="24"/>
  <c r="A14" i="19"/>
  <c r="D40" i="8"/>
  <c r="E7" i="8"/>
  <c r="B7" i="12"/>
  <c r="D5" i="12"/>
  <c r="E4" i="12"/>
  <c r="B24" i="13"/>
  <c r="D14" i="9"/>
  <c r="A5" i="19"/>
  <c r="D13" i="9"/>
  <c r="A3" i="9"/>
  <c r="C20" i="28"/>
  <c r="B16" i="25"/>
  <c r="B6" i="19"/>
  <c r="B5" i="19"/>
  <c r="E11" i="13"/>
  <c r="C49" i="8"/>
  <c r="E7" i="13"/>
  <c r="C21" i="8"/>
  <c r="D22" i="19"/>
  <c r="C23" i="19"/>
  <c r="A5" i="13"/>
  <c r="C3" i="9"/>
  <c r="D6" i="13"/>
  <c r="B3" i="9"/>
  <c r="D19" i="20"/>
  <c r="C8" i="8"/>
  <c r="D13" i="23"/>
  <c r="E15" i="12"/>
  <c r="B39" i="8"/>
  <c r="A24" i="13"/>
  <c r="A47" i="8"/>
  <c r="D18" i="12"/>
  <c r="E16" i="25"/>
  <c r="C37" i="13"/>
  <c r="D16" i="13"/>
  <c r="A40" i="8"/>
  <c r="E10" i="20"/>
  <c r="B18" i="8"/>
  <c r="A39" i="9"/>
  <c r="C28" i="8"/>
  <c r="D4" i="21"/>
  <c r="C16" i="8"/>
  <c r="D18" i="8"/>
  <c r="E10" i="21"/>
  <c r="C14" i="12"/>
  <c r="D12" i="8"/>
  <c r="A23" i="20"/>
  <c r="B11" i="19"/>
  <c r="A10" i="8"/>
  <c r="C15" i="8"/>
  <c r="C72" i="27"/>
  <c r="E55" i="27"/>
  <c r="D60" i="27"/>
  <c r="B27" i="27"/>
  <c r="B16" i="26"/>
  <c r="E34" i="27"/>
  <c r="D5" i="26"/>
  <c r="D26" i="21"/>
  <c r="C100" i="27"/>
  <c r="B12" i="24"/>
  <c r="A10" i="23"/>
  <c r="B34" i="21"/>
  <c r="A45" i="27"/>
  <c r="C22" i="20"/>
  <c r="E2" i="21"/>
  <c r="A32" i="27"/>
  <c r="A23" i="24"/>
  <c r="A15" i="21"/>
  <c r="A14" i="25"/>
  <c r="B58" i="28"/>
  <c r="C31" i="24"/>
  <c r="B25" i="13"/>
  <c r="C26" i="9"/>
  <c r="D13" i="25"/>
  <c r="D16" i="8"/>
  <c r="D36" i="9"/>
  <c r="C31" i="8"/>
  <c r="B28" i="8"/>
  <c r="B20" i="8"/>
  <c r="B8" i="12"/>
  <c r="C1" i="8"/>
  <c r="A9" i="8"/>
  <c r="B42" i="27"/>
  <c r="B30" i="27"/>
  <c r="A21" i="21"/>
  <c r="A16" i="23"/>
  <c r="D27" i="21"/>
  <c r="C20" i="12"/>
  <c r="B38" i="8"/>
  <c r="E3" i="12"/>
  <c r="E3" i="8"/>
  <c r="C5" i="12"/>
  <c r="E20" i="13"/>
  <c r="A30" i="8"/>
  <c r="A11" i="20"/>
  <c r="B17" i="12"/>
  <c r="B26" i="8"/>
  <c r="D18" i="20"/>
  <c r="E19" i="8"/>
  <c r="C51" i="8"/>
  <c r="A52" i="8"/>
  <c r="D24" i="19"/>
  <c r="D2" i="25"/>
  <c r="E24" i="8"/>
  <c r="A34" i="21"/>
  <c r="D40" i="9"/>
  <c r="D10" i="13"/>
  <c r="A11" i="12"/>
  <c r="C30" i="8"/>
  <c r="A20" i="13"/>
  <c r="C25" i="13"/>
  <c r="E33" i="8"/>
  <c r="D3" i="13"/>
  <c r="E4" i="13"/>
  <c r="C27" i="8"/>
  <c r="C42" i="27"/>
  <c r="E29" i="13"/>
  <c r="B39" i="9"/>
  <c r="E1" i="12"/>
  <c r="C10" i="13"/>
  <c r="B20" i="12"/>
  <c r="D6" i="9"/>
  <c r="B4" i="13"/>
  <c r="D32" i="9"/>
  <c r="C26" i="28"/>
  <c r="E3" i="13"/>
  <c r="A12" i="12"/>
  <c r="B26" i="9"/>
  <c r="E33" i="9"/>
  <c r="A23" i="8"/>
  <c r="B13" i="19"/>
  <c r="D14" i="8"/>
  <c r="D20" i="9"/>
  <c r="A4" i="13"/>
  <c r="A16" i="12"/>
  <c r="E9" i="13"/>
  <c r="A5" i="8"/>
  <c r="A27" i="27"/>
  <c r="E74" i="27"/>
  <c r="B80" i="27"/>
  <c r="D38" i="27"/>
  <c r="A32" i="28"/>
  <c r="D8" i="29"/>
  <c r="C7" i="21"/>
  <c r="A8" i="20"/>
  <c r="A9" i="26"/>
  <c r="B25" i="27"/>
  <c r="D37" i="21"/>
  <c r="B70" i="27"/>
  <c r="C1" i="24"/>
  <c r="B76" i="27"/>
  <c r="E17" i="20"/>
  <c r="B10" i="12"/>
  <c r="A11" i="24"/>
  <c r="D5" i="20"/>
  <c r="B5" i="20"/>
  <c r="D2" i="20"/>
  <c r="A9" i="21"/>
  <c r="D17" i="21"/>
  <c r="E8" i="12"/>
  <c r="D9" i="9"/>
  <c r="B14" i="21"/>
  <c r="B2" i="8"/>
  <c r="B19" i="9"/>
  <c r="A26" i="9"/>
  <c r="B12" i="8"/>
  <c r="D7" i="13"/>
  <c r="C47" i="8"/>
  <c r="C1" i="12"/>
  <c r="E24" i="19"/>
  <c r="A37" i="9"/>
  <c r="B32" i="24"/>
  <c r="D10" i="9"/>
  <c r="A6" i="9"/>
  <c r="C23" i="28"/>
  <c r="D59" i="27"/>
  <c r="D17" i="20"/>
  <c r="B10" i="25"/>
  <c r="A79" i="28"/>
  <c r="B8" i="21"/>
  <c r="A18" i="24"/>
  <c r="C10" i="21"/>
  <c r="E14" i="13"/>
  <c r="D16" i="21"/>
  <c r="B18" i="24"/>
  <c r="A14" i="12"/>
  <c r="C7" i="9"/>
  <c r="A35" i="8"/>
  <c r="E8" i="8"/>
  <c r="B37" i="9"/>
  <c r="E42" i="8"/>
  <c r="A21" i="12"/>
  <c r="D7" i="8"/>
  <c r="E30" i="9"/>
  <c r="C16" i="20"/>
  <c r="A16" i="13"/>
  <c r="B27" i="9"/>
  <c r="C25" i="8"/>
  <c r="E10" i="27"/>
  <c r="B14" i="19"/>
  <c r="A10" i="20"/>
  <c r="B5" i="12"/>
  <c r="E39" i="8"/>
  <c r="C15" i="12"/>
  <c r="C17" i="8"/>
  <c r="B21" i="13"/>
  <c r="B14" i="13"/>
  <c r="A3" i="8"/>
  <c r="C20" i="8"/>
  <c r="D28" i="21"/>
  <c r="C35" i="8"/>
  <c r="B51" i="8"/>
  <c r="D26" i="8"/>
  <c r="B25" i="24"/>
  <c r="A7" i="19"/>
  <c r="D35" i="21"/>
  <c r="C25" i="21"/>
  <c r="C17" i="9"/>
  <c r="D17" i="8"/>
  <c r="B7" i="9"/>
  <c r="D15" i="8"/>
  <c r="B17" i="20"/>
  <c r="D3" i="20"/>
  <c r="E16" i="8"/>
  <c r="C43" i="8"/>
  <c r="D14" i="12"/>
  <c r="A13" i="12"/>
  <c r="B29" i="9"/>
  <c r="B8" i="13"/>
  <c r="E13" i="13"/>
  <c r="C8" i="9"/>
  <c r="A3" i="21"/>
  <c r="A6" i="12"/>
  <c r="D6" i="12"/>
  <c r="A9" i="23"/>
  <c r="E27" i="8"/>
  <c r="E10" i="8"/>
  <c r="B4" i="20"/>
  <c r="B19" i="12"/>
  <c r="C24" i="8"/>
  <c r="D16" i="12"/>
  <c r="E9" i="8"/>
  <c r="E48" i="8"/>
  <c r="B17" i="25"/>
  <c r="D31" i="21"/>
  <c r="C12" i="21"/>
  <c r="D19" i="21"/>
  <c r="B23" i="9"/>
  <c r="A24" i="8"/>
  <c r="E14" i="9"/>
  <c r="A10" i="9"/>
  <c r="C10" i="12"/>
  <c r="C31" i="13"/>
  <c r="C4" i="12"/>
  <c r="C27" i="21"/>
  <c r="A8" i="8"/>
  <c r="E1" i="13"/>
  <c r="D1" i="12"/>
  <c r="B18" i="12"/>
  <c r="B40" i="8"/>
  <c r="E3" i="9"/>
  <c r="D3" i="25"/>
  <c r="A23" i="13"/>
  <c r="B41" i="8"/>
  <c r="D39" i="9"/>
  <c r="E12" i="9"/>
  <c r="A33" i="8"/>
  <c r="D7" i="9"/>
  <c r="C26" i="21"/>
  <c r="B34" i="8"/>
  <c r="D5" i="21"/>
  <c r="D20" i="13"/>
  <c r="D14" i="13"/>
  <c r="D17" i="12"/>
  <c r="D27" i="9"/>
  <c r="D10" i="8"/>
  <c r="E20" i="8"/>
  <c r="A15" i="13"/>
  <c r="C15" i="9"/>
  <c r="D37" i="9"/>
  <c r="D10" i="12"/>
  <c r="E21" i="9"/>
</calcChain>
</file>

<file path=xl/sharedStrings.xml><?xml version="1.0" encoding="utf-8"?>
<sst xmlns="http://schemas.openxmlformats.org/spreadsheetml/2006/main" count="5631" uniqueCount="3601">
  <si>
    <t>SIGLA</t>
  </si>
  <si>
    <t>Nome no evento</t>
  </si>
  <si>
    <t>AAAI</t>
  </si>
  <si>
    <t>Conference on Artificial Intelligence</t>
  </si>
  <si>
    <t>AAMAS</t>
  </si>
  <si>
    <t>International Conference on Autonomous Agents and Multiagent Systems</t>
  </si>
  <si>
    <t>ACL</t>
  </si>
  <si>
    <t>Annual Meeting of the Association for Computational Linguistics</t>
  </si>
  <si>
    <t>ACMSOCC</t>
  </si>
  <si>
    <t>ACM Symposium on Cloud Computing</t>
  </si>
  <si>
    <t>ALLERTON</t>
  </si>
  <si>
    <t>Allerton Conference on Communication, Control, and Computing</t>
  </si>
  <si>
    <t>ASE</t>
  </si>
  <si>
    <t>IEEE/ACM International Conference on Automated Software Engineering</t>
  </si>
  <si>
    <t>ASIACRYPT</t>
  </si>
  <si>
    <t>Annual International Conference on the Theory and Applications of Cryptology and Information Security</t>
  </si>
  <si>
    <t>ASPLOS</t>
  </si>
  <si>
    <t>International Conference on Architectural Support for Programming Languages and Operating Systems</t>
  </si>
  <si>
    <t>BMVC</t>
  </si>
  <si>
    <t>British Machine Vision Conference</t>
  </si>
  <si>
    <t>CCGRID</t>
  </si>
  <si>
    <t>IEEE/ACM International Symposium on Cluster, Cloud and Grid Computing</t>
  </si>
  <si>
    <t>CCS</t>
  </si>
  <si>
    <t>ACM Symposium on Information, Computer and Communications Security</t>
  </si>
  <si>
    <t>CEC</t>
  </si>
  <si>
    <t>IEEE Congress on Evolutionary Computation</t>
  </si>
  <si>
    <t>CHES</t>
  </si>
  <si>
    <t>Conference on Cryptographic Hardware and Embedded Systems</t>
  </si>
  <si>
    <t>CHI</t>
  </si>
  <si>
    <t>ACM Conference on Human Factors in Computing Systems</t>
  </si>
  <si>
    <t>CIKM</t>
  </si>
  <si>
    <t>ACM International Conference on Information and Knowledge Management</t>
  </si>
  <si>
    <t>CloudCom</t>
  </si>
  <si>
    <t>IEEE International Conference on Cloud Computing Technology and Science</t>
  </si>
  <si>
    <t>CONEXT</t>
  </si>
  <si>
    <t>Conference on Emerging Network Experiment and Technology</t>
  </si>
  <si>
    <t>CSCW</t>
  </si>
  <si>
    <t>ACM Conference on Computer Supported Cooperative Work &amp; Social Computing</t>
  </si>
  <si>
    <t>CVPR</t>
  </si>
  <si>
    <t>IEEE Conference on Computer Vision and Pattern Recognition</t>
  </si>
  <si>
    <t>DAC</t>
  </si>
  <si>
    <t>Design Automation Conference</t>
  </si>
  <si>
    <t>DATE</t>
  </si>
  <si>
    <t>Design, Automation and Test in Europe Conference and Exhibition</t>
  </si>
  <si>
    <t>DSN</t>
  </si>
  <si>
    <t>Annual IEEE/IFIP International Conference on Dependable Systems and Networks</t>
  </si>
  <si>
    <t>ECCV</t>
  </si>
  <si>
    <t>European Conference on Computer Vision</t>
  </si>
  <si>
    <t>ECML</t>
  </si>
  <si>
    <t>European Conference on Machine Learning and Principles and Practice of Knowledge Discovery in Databases</t>
  </si>
  <si>
    <t>ECRTS</t>
  </si>
  <si>
    <t>Euromicro Conference on Real-Time Systems</t>
  </si>
  <si>
    <t>EDBT</t>
  </si>
  <si>
    <t>International Conference on Extending Database Technology</t>
  </si>
  <si>
    <t>EMNLP</t>
  </si>
  <si>
    <t>Conference on Empirical Methods in Natural Language Processing</t>
  </si>
  <si>
    <t>ESWS</t>
  </si>
  <si>
    <t>European Semantic Web Conference</t>
  </si>
  <si>
    <t>EUROPAR</t>
  </si>
  <si>
    <t>European Conference on Parallel Computing</t>
  </si>
  <si>
    <t>EUROSYS</t>
  </si>
  <si>
    <t>European Conference on Computer Systems</t>
  </si>
  <si>
    <t>FGR</t>
  </si>
  <si>
    <t>IEEE International Conference on Automatic Face and Gesture Recognition</t>
  </si>
  <si>
    <t>FSE/ESEC</t>
  </si>
  <si>
    <t>Joint Meeting on European Software Engineering Conference and Foundations of Software Engineering</t>
  </si>
  <si>
    <t>FUSION</t>
  </si>
  <si>
    <t>International Conference on Information Fusion</t>
  </si>
  <si>
    <t>GECCO</t>
  </si>
  <si>
    <t>Genetic and Evolutionary Computation Conference</t>
  </si>
  <si>
    <t>GIS</t>
  </si>
  <si>
    <t>ACM SIGSPATIAL International Conference on Advances in Geographic Information Systems</t>
  </si>
  <si>
    <t>GLOBECOM</t>
  </si>
  <si>
    <t>IEEE Global Communications Conference</t>
  </si>
  <si>
    <t>HICSS</t>
  </si>
  <si>
    <t>Hawaii International Conference on System Sciences</t>
  </si>
  <si>
    <t>HLT</t>
  </si>
  <si>
    <t>International Conference Baltic Human Language Technology</t>
  </si>
  <si>
    <t>HOTNETS</t>
  </si>
  <si>
    <t>ACM Workshop on Hot Topics in Networks</t>
  </si>
  <si>
    <t>HPCA</t>
  </si>
  <si>
    <t>IEEE  International Symposium on High Performance Computer Architecture</t>
  </si>
  <si>
    <t>HPDC</t>
  </si>
  <si>
    <t>International Symposium on High Performance Distributed Computing</t>
  </si>
  <si>
    <t>ICASSP</t>
  </si>
  <si>
    <t>IEEE International Conference on Acoustics, Speech and Signal Processing</t>
  </si>
  <si>
    <t>ICC</t>
  </si>
  <si>
    <t>IEEE International Conference on Communications</t>
  </si>
  <si>
    <t>ICCAD</t>
  </si>
  <si>
    <t>IEEE/ACM International Conference on ComputerAided Design</t>
  </si>
  <si>
    <t>ICCS</t>
  </si>
  <si>
    <t>International Conference on Computational Science</t>
  </si>
  <si>
    <t>ICDAR</t>
  </si>
  <si>
    <t>International Conference on Document Analysis and Recognition</t>
  </si>
  <si>
    <t>ICDCS</t>
  </si>
  <si>
    <t>International Conference on Distributed Computing Systems</t>
  </si>
  <si>
    <t>ICDE</t>
  </si>
  <si>
    <t>IEEE International Conference on Data Engineering</t>
  </si>
  <si>
    <t>ICDM</t>
  </si>
  <si>
    <t>IEEE International Conference on Data Mining</t>
  </si>
  <si>
    <t>ICIP</t>
  </si>
  <si>
    <t>IEEE International Conference on Image Processing</t>
  </si>
  <si>
    <t>ICIS</t>
  </si>
  <si>
    <t>International Conference on Information Systems</t>
  </si>
  <si>
    <t>ICML</t>
  </si>
  <si>
    <t>International Conference on Machine Learning</t>
  </si>
  <si>
    <t>ICMR</t>
  </si>
  <si>
    <t>ACM International Conference on Multimedia Retrieval</t>
  </si>
  <si>
    <t>ICN</t>
  </si>
  <si>
    <t>ACM International Conference on Information-Centric Networking</t>
  </si>
  <si>
    <t>ICPP</t>
  </si>
  <si>
    <t>International Conference on Parallel Processing</t>
  </si>
  <si>
    <t>ICRA</t>
  </si>
  <si>
    <t>IEEE International Conference on Robotics and Automation</t>
  </si>
  <si>
    <t>ICSE</t>
  </si>
  <si>
    <t>International Conference on Software Engineering</t>
  </si>
  <si>
    <t>ICSM</t>
  </si>
  <si>
    <t>IEEE International Conference on Software Maintenance and Evolution</t>
  </si>
  <si>
    <t>ICWSM</t>
  </si>
  <si>
    <t>International AAAI Conference on Weblogs and Social Media</t>
  </si>
  <si>
    <t>IEEECLOUD</t>
  </si>
  <si>
    <t>IEEE International Conference on Cloud Computing</t>
  </si>
  <si>
    <t>IJCAI</t>
  </si>
  <si>
    <t>International Joint Conference on Artificial Intelligence</t>
  </si>
  <si>
    <t>IJCNN</t>
  </si>
  <si>
    <t>IEEE International Joint Conference on Neural Networks</t>
  </si>
  <si>
    <t>IMC</t>
  </si>
  <si>
    <t>ACM Internet Measurement Conference</t>
  </si>
  <si>
    <t>INFOCOM</t>
  </si>
  <si>
    <t>IEEE International Conference on Computer Communications</t>
  </si>
  <si>
    <t>INTERSPEECH</t>
  </si>
  <si>
    <t>Conference of the International Speech Communication Association</t>
  </si>
  <si>
    <t>IPDPS</t>
  </si>
  <si>
    <t>IEEE International Parallel &amp; Distributed Processing Symposium</t>
  </si>
  <si>
    <t>IPSN</t>
  </si>
  <si>
    <t>International Conference on Information Processing in Sensor Networks</t>
  </si>
  <si>
    <t>IROS</t>
  </si>
  <si>
    <t>IEEE/RSJ International Conference on Intelligent Robots and Systems</t>
  </si>
  <si>
    <t>ISCA</t>
  </si>
  <si>
    <t>International Symposium on Computer Architecture</t>
  </si>
  <si>
    <t>ISCAS</t>
  </si>
  <si>
    <t>IEEE International Symposium on Circuits and Systems</t>
  </si>
  <si>
    <t>ISIT</t>
  </si>
  <si>
    <t>International Symposium on Information Theory</t>
  </si>
  <si>
    <t>ISMIR</t>
  </si>
  <si>
    <t>International Society for Music Information Retrieval Conference</t>
  </si>
  <si>
    <t>ISSTA</t>
  </si>
  <si>
    <t>International Symposium on Software Testing and Analysis</t>
  </si>
  <si>
    <t>ISWC</t>
  </si>
  <si>
    <t>International Semantic Web Conference</t>
  </si>
  <si>
    <t>KDD</t>
  </si>
  <si>
    <t>ACM SIGKDD Conference on Knowledge Discovery and Data Mining</t>
  </si>
  <si>
    <t>LAK</t>
  </si>
  <si>
    <t>International Learning Analytics and Knowledge Conference</t>
  </si>
  <si>
    <t>LREC</t>
  </si>
  <si>
    <t>International Conference on Language Resources and Evaluation</t>
  </si>
  <si>
    <t>MICCAI</t>
  </si>
  <si>
    <t>International Conference on Medical Image Computing and Computer Assisted Intervention</t>
  </si>
  <si>
    <t>MOBICOM</t>
  </si>
  <si>
    <t>ACM/IEEE International Conference on Mobile Computing and Networking</t>
  </si>
  <si>
    <t>MOBILEHCI</t>
  </si>
  <si>
    <t>International Conference on Human-Computer Interaction with Mobile Devices and Services Adjunct</t>
  </si>
  <si>
    <t>MSR</t>
  </si>
  <si>
    <t>Working Conference on Mining Software Repositories</t>
  </si>
  <si>
    <t>NSDI</t>
  </si>
  <si>
    <t>Networked Systems Design and Implementation</t>
  </si>
  <si>
    <t>OOPSLA</t>
  </si>
  <si>
    <t>Conference on Object-Oriented Programming Systems, Languages, and Applications</t>
  </si>
  <si>
    <t>PACTT</t>
  </si>
  <si>
    <t>International Conference on Parallel Architectures and Compilation Techniques</t>
  </si>
  <si>
    <t>PERCOM</t>
  </si>
  <si>
    <t>International Conference on Pervasive Computing and Communications</t>
  </si>
  <si>
    <t>PIMRC</t>
  </si>
  <si>
    <t>International Symposium on Personal, Indoor and Mobile Radio Communications</t>
  </si>
  <si>
    <t>PLDI</t>
  </si>
  <si>
    <t>SIGPLAN Conference on Programming Language Design and Implementation</t>
  </si>
  <si>
    <t>POPL</t>
  </si>
  <si>
    <t>Symposium on Principles of Programming Languages</t>
  </si>
  <si>
    <t>PPOPP</t>
  </si>
  <si>
    <t>ACM SIGPLAN Symposium on Principles and Practice of Parallel Programming</t>
  </si>
  <si>
    <t>RECSYS</t>
  </si>
  <si>
    <t>ACM Conference on Recommender Systems</t>
  </si>
  <si>
    <t>SAC</t>
  </si>
  <si>
    <t>ACM Symposium on Applied Computing</t>
  </si>
  <si>
    <t>SC</t>
  </si>
  <si>
    <t>International Conference for High Performance Computing, Networking, Storage and Analysis</t>
  </si>
  <si>
    <t>SDM</t>
  </si>
  <si>
    <t>SIAM International Conference on Data Mining</t>
  </si>
  <si>
    <t>SenSys</t>
  </si>
  <si>
    <t>ACM Conference on Embedded Network Sensor Systems</t>
  </si>
  <si>
    <t>SIGCOMM</t>
  </si>
  <si>
    <t>ACM SIGCOMM Conference</t>
  </si>
  <si>
    <t>SIGCSE</t>
  </si>
  <si>
    <t>ACM Technical Symposium on Computer Science Education</t>
  </si>
  <si>
    <t>SIGIR</t>
  </si>
  <si>
    <t>International ACM SIGIR Conference on Research and Development in Information Retrieval</t>
  </si>
  <si>
    <t>SIGMOD</t>
  </si>
  <si>
    <t>ACM Conference on Management Data</t>
  </si>
  <si>
    <t>SOCIALCOM</t>
  </si>
  <si>
    <t>International Conference on Social Computing</t>
  </si>
  <si>
    <t>SODA</t>
  </si>
  <si>
    <t>ACM-SIAM Symposium on Discrete Algorithms</t>
  </si>
  <si>
    <t>SPLC</t>
  </si>
  <si>
    <t>International Software Product Line Conference: New Directions in Systems and Software Product Line Engineering</t>
  </si>
  <si>
    <t>UAI</t>
  </si>
  <si>
    <t>Conference on Uncertainty in Artificial Intelligence</t>
  </si>
  <si>
    <t>UbiComp</t>
  </si>
  <si>
    <t>ACM International Joint Conference on Pervasive and Ubiquitous Computing</t>
  </si>
  <si>
    <t>UIST</t>
  </si>
  <si>
    <t>User Interface Software Technology Symposium</t>
  </si>
  <si>
    <t>WACV</t>
  </si>
  <si>
    <t>Winter Conference on Applications of Computer Vision</t>
  </si>
  <si>
    <t>WSDM</t>
  </si>
  <si>
    <t>ACM Conference International Conference on Web Search and Data Mining</t>
  </si>
  <si>
    <t>WWW</t>
  </si>
  <si>
    <t>International World Wide Web Conferences</t>
  </si>
  <si>
    <t>AIED</t>
  </si>
  <si>
    <t>Intternational Conference on Artificial Intelligence in Education</t>
  </si>
  <si>
    <t>AIIDE</t>
  </si>
  <si>
    <t>AAAI Conference on Artificial Intelligence and Interactive Digital Entertainment</t>
  </si>
  <si>
    <t>AINA</t>
  </si>
  <si>
    <t>IEEE International Conference on Advanced Information Networking and Applications</t>
  </si>
  <si>
    <t>AMCIS</t>
  </si>
  <si>
    <t>Americas Conference on Information Systems</t>
  </si>
  <si>
    <t>ARES</t>
  </si>
  <si>
    <t>International Conference on Availability, Reliability and Security</t>
  </si>
  <si>
    <t>ASONAM</t>
  </si>
  <si>
    <t>IEEE/ACM International Conference on Advances in Social Networks Analysis and Mining</t>
  </si>
  <si>
    <t>ASSETS</t>
  </si>
  <si>
    <t>International ACM SIGACCESS Conference on Computers and Accessibility</t>
  </si>
  <si>
    <t>AVSS</t>
  </si>
  <si>
    <t>IEEE International Conference on Advanced Video and Signal Based Surveillance</t>
  </si>
  <si>
    <t>BPM</t>
  </si>
  <si>
    <t>International Conference on Business Process Management</t>
  </si>
  <si>
    <t>BTAS</t>
  </si>
  <si>
    <t>IEEE International Conference on Biometrics: Theory, Applications, and Systems</t>
  </si>
  <si>
    <t>CADE</t>
  </si>
  <si>
    <t>International Conference on Automated Deduction</t>
  </si>
  <si>
    <t>CAISE</t>
  </si>
  <si>
    <t>International Conference on Advanced Information Systems Engineering</t>
  </si>
  <si>
    <t>CGO</t>
  </si>
  <si>
    <t>International Symposium on Code Generation and Optimization</t>
  </si>
  <si>
    <t>CICC</t>
  </si>
  <si>
    <t>IEEE Custom Integrated Circuits Conference</t>
  </si>
  <si>
    <t>CICLING</t>
  </si>
  <si>
    <t>International Conference on Intelligent Text Processing and Computational Linguistics</t>
  </si>
  <si>
    <t>CIG</t>
  </si>
  <si>
    <t>IEEE Conference on Computational Intelligence and Games</t>
  </si>
  <si>
    <t>CLOSER</t>
  </si>
  <si>
    <t>International Conference on Cloud Computing and Services Science</t>
  </si>
  <si>
    <t>CLUSTER</t>
  </si>
  <si>
    <t>IEEE International Conference on Cluster Computing</t>
  </si>
  <si>
    <t>CNSM</t>
  </si>
  <si>
    <t>International Conference on Network and Service Management</t>
  </si>
  <si>
    <t>CODES+ISSS</t>
  </si>
  <si>
    <t>International Conference on Hardware/Software Codesign and System Synthesis</t>
  </si>
  <si>
    <t>COLING</t>
  </si>
  <si>
    <t>International Conference on Computational Linguistics</t>
  </si>
  <si>
    <t>COMPGEOM</t>
  </si>
  <si>
    <t>International Symposium on Computational Geometry</t>
  </si>
  <si>
    <t>COMPSAC</t>
  </si>
  <si>
    <t>Annual International Computers, Software &amp; Applications Conference</t>
  </si>
  <si>
    <t>COMSNETS</t>
  </si>
  <si>
    <t>International Conference on COMmunication Systems &amp; NETworkS</t>
  </si>
  <si>
    <t>CONCUR</t>
  </si>
  <si>
    <t>International Conference on Concurrency Theory</t>
  </si>
  <si>
    <t>CoopIS</t>
  </si>
  <si>
    <t>International Conference on Cooperative Information Systems</t>
  </si>
  <si>
    <t>CP</t>
  </si>
  <si>
    <t>International Conference on Principles and Practice of Constraint Programming</t>
  </si>
  <si>
    <t>CSF</t>
  </si>
  <si>
    <t>IEEE Computer Security Foundations Symposium</t>
  </si>
  <si>
    <t>CSMR</t>
  </si>
  <si>
    <t>European Conference on Software Maintenance and Reengineering</t>
  </si>
  <si>
    <t>CT-RSA</t>
  </si>
  <si>
    <t>SA - RSA Conference Cryptographers' Track</t>
  </si>
  <si>
    <t>DCOSS</t>
  </si>
  <si>
    <t>International Conference on Distributed Computing in Sensor Systems</t>
  </si>
  <si>
    <t>DEBS</t>
  </si>
  <si>
    <t>International Conference on Distributed and Event-Based Systems</t>
  </si>
  <si>
    <t>ECAI</t>
  </si>
  <si>
    <t>European Conference on Artificial Intelligence</t>
  </si>
  <si>
    <t>ECIR</t>
  </si>
  <si>
    <t>European Conference on Information Retrieval</t>
  </si>
  <si>
    <t>ECIS</t>
  </si>
  <si>
    <t>European Conference on Information Systems</t>
  </si>
  <si>
    <t>ECOOP</t>
  </si>
  <si>
    <t>European Conference on Object-Oriented Programming</t>
  </si>
  <si>
    <t>EDM</t>
  </si>
  <si>
    <t>International Conference on Educational Data Mining</t>
  </si>
  <si>
    <t>EDOC</t>
  </si>
  <si>
    <t>IEEE International Enterprise Distributed Object Computing Conference</t>
  </si>
  <si>
    <t>EICS</t>
  </si>
  <si>
    <t>ACM SIGCHI Symposium on Engineering Interactive Computing Systems</t>
  </si>
  <si>
    <t>ESA</t>
  </si>
  <si>
    <t>European Symposium on Algorithms</t>
  </si>
  <si>
    <t>ESEM</t>
  </si>
  <si>
    <t>ACM/IEEE International Symposium on Empirical Software Engineering and Measurement</t>
  </si>
  <si>
    <t>ESORICS</t>
  </si>
  <si>
    <t>European Symposium on Research in Computer Security</t>
  </si>
  <si>
    <t>ETRA</t>
  </si>
  <si>
    <t>Biennial ACM Symposium on Eye Tracking Research &amp; Applications</t>
  </si>
  <si>
    <t>EUSIPCO</t>
  </si>
  <si>
    <t>European Signal Processing Conference</t>
  </si>
  <si>
    <t>FASE</t>
  </si>
  <si>
    <t>International Conference on Fundamental Approaches to Software Engineering</t>
  </si>
  <si>
    <t>FCCM</t>
  </si>
  <si>
    <t>IEEE Annual International Symposium on Field-Programmable Custom Computing Machines</t>
  </si>
  <si>
    <t>FM</t>
  </si>
  <si>
    <t>International Symposium on Formal Methods</t>
  </si>
  <si>
    <t>FMCAD</t>
  </si>
  <si>
    <t>International Conference on Formal Methods in Computer-Aided Design</t>
  </si>
  <si>
    <t>FPL</t>
  </si>
  <si>
    <t>International Conference on Field-Programmable Logic and Applications</t>
  </si>
  <si>
    <t>HPCC</t>
  </si>
  <si>
    <t>International Conference on High Performance Computing and Communications</t>
  </si>
  <si>
    <t>HT</t>
  </si>
  <si>
    <t>ACM Conference on Hypertext and Social Media</t>
  </si>
  <si>
    <t>I2MTC</t>
  </si>
  <si>
    <t>IEEE International Instrumentation and Measurement Technology Conference</t>
  </si>
  <si>
    <t>I3D</t>
  </si>
  <si>
    <t>ACM Symposium on Interactive 3D Graphics and Games</t>
  </si>
  <si>
    <t>ICAISC</t>
  </si>
  <si>
    <t>International Conference on Artificial Intelligence and Soft Computing</t>
  </si>
  <si>
    <t>ICAPS</t>
  </si>
  <si>
    <t>International Conference on Automated Planning and Scheduling</t>
  </si>
  <si>
    <t>ICB</t>
  </si>
  <si>
    <t>International Conference on Biometrics</t>
  </si>
  <si>
    <t>ICCCN</t>
  </si>
  <si>
    <t>International Conference on Computer Communications and Networks</t>
  </si>
  <si>
    <t>ICCD</t>
  </si>
  <si>
    <t>International Conference on Computer Design</t>
  </si>
  <si>
    <t>ICCNC</t>
  </si>
  <si>
    <t>International Conference on Computing, Networking and Communications</t>
  </si>
  <si>
    <t>ICME</t>
  </si>
  <si>
    <t>IEEE International Conference on Multimedia and Expo</t>
  </si>
  <si>
    <t>ICPADS</t>
  </si>
  <si>
    <t>International Conference on Parallel and Distributed Systems</t>
  </si>
  <si>
    <t>ICPC</t>
  </si>
  <si>
    <t>International Conference on Program Comprehension</t>
  </si>
  <si>
    <t>ICPE</t>
  </si>
  <si>
    <t>International Conference on Performance Engineering</t>
  </si>
  <si>
    <t>ICPR</t>
  </si>
  <si>
    <t>International Conference on Pattern Recognition</t>
  </si>
  <si>
    <t>ICSOC</t>
  </si>
  <si>
    <t>International Conference on Service Oriented Computing</t>
  </si>
  <si>
    <t>ICSTV</t>
  </si>
  <si>
    <t>IEEE International Conference on Software Testing, Verification and Validation</t>
  </si>
  <si>
    <t>ICWS</t>
  </si>
  <si>
    <t>IEEE International Conference on Web Services</t>
  </si>
  <si>
    <t>IEEESCC</t>
  </si>
  <si>
    <t>IEEE International Conference on Services Computing</t>
  </si>
  <si>
    <t>IGSC</t>
  </si>
  <si>
    <t>International Green and Sustainable Computing Conference</t>
  </si>
  <si>
    <t>IISWC</t>
  </si>
  <si>
    <t>IEEE International Symposium on Workload Characterization</t>
  </si>
  <si>
    <t>IM</t>
  </si>
  <si>
    <t>IFIP/IEEE International Symposium on Integrated Network Management</t>
  </si>
  <si>
    <t>IMIS</t>
  </si>
  <si>
    <t>International Conference on Innovative Mobile and Internet Services in Ubiquitous Computing</t>
  </si>
  <si>
    <t>INTERACT</t>
  </si>
  <si>
    <t>IFIP TC 13 International Conference on Human-Computer Interaction</t>
  </si>
  <si>
    <t>ISCC</t>
  </si>
  <si>
    <t>International Symposium on Computers and Communications</t>
  </si>
  <si>
    <t>ISLPED</t>
  </si>
  <si>
    <t>International Symposium on Low Power Electronics and Design</t>
  </si>
  <si>
    <t>ISMAR</t>
  </si>
  <si>
    <t>International Symposium on Mixed and Augmented Reality</t>
  </si>
  <si>
    <t>ISPASS</t>
  </si>
  <si>
    <t>IEEE International Symposium on Performance Analysis of Systems and Software</t>
  </si>
  <si>
    <t>ISSRE</t>
  </si>
  <si>
    <t>IEEE International Symposium on Software Reliability Engineering</t>
  </si>
  <si>
    <t>ISWCS</t>
  </si>
  <si>
    <t>International Symposium on Wireless Communication Systems</t>
  </si>
  <si>
    <t>ITICSE</t>
  </si>
  <si>
    <t>Conference on Innovation and Technology in Computer Science Education</t>
  </si>
  <si>
    <t>IUI</t>
  </si>
  <si>
    <t>International Conference on Intelligent User Interfaces</t>
  </si>
  <si>
    <t>IWCMC</t>
  </si>
  <si>
    <t>International Wireless Communications and Mobile Computing Conference</t>
  </si>
  <si>
    <t>JCDL</t>
  </si>
  <si>
    <t>ACM/IEEE Joint Conference on Digital Libraries</t>
  </si>
  <si>
    <t>KR</t>
  </si>
  <si>
    <t>International Conference on Principles of Knowledge Representation and Reasoning</t>
  </si>
  <si>
    <t>MASCOTS</t>
  </si>
  <si>
    <t>International Symposium on the Modeling, Analysis, and Simulation of Computer and Telecommunication Systems</t>
  </si>
  <si>
    <t>MDM</t>
  </si>
  <si>
    <t>IEEE International Conference on Mobile Data Management</t>
  </si>
  <si>
    <t>MIDDLEWARE</t>
  </si>
  <si>
    <t>International Middleware Conference</t>
  </si>
  <si>
    <t>MMSYS</t>
  </si>
  <si>
    <t>ACM Multimedia Systems Conference</t>
  </si>
  <si>
    <t>MOBIHOC</t>
  </si>
  <si>
    <t>ACM International Symposium on Mobile Ad Hoc Networking and Computing</t>
  </si>
  <si>
    <t>MODELS</t>
  </si>
  <si>
    <t>International Conference on Model Driven Engineering Languages and Systems</t>
  </si>
  <si>
    <t>MODULARITY</t>
  </si>
  <si>
    <t>International Conference on Modularity</t>
  </si>
  <si>
    <t>MSST</t>
  </si>
  <si>
    <t>IEEE Symposium on Mass Storage Systems and Technologies</t>
  </si>
  <si>
    <t>NETWORKING</t>
  </si>
  <si>
    <t>IFIP Networking Conference</t>
  </si>
  <si>
    <t>NFM</t>
  </si>
  <si>
    <t>NASA Formal Methods Symposium</t>
  </si>
  <si>
    <t>NOMS</t>
  </si>
  <si>
    <t>IEEE/IFIP Network Operations and Management Symposium</t>
  </si>
  <si>
    <t>OM</t>
  </si>
  <si>
    <t>International Workshop on Ontology Matching</t>
  </si>
  <si>
    <t>PacificVis</t>
  </si>
  <si>
    <t>IEEE Pacific Visualization Symposium</t>
  </si>
  <si>
    <t>PAKDD</t>
  </si>
  <si>
    <t>Pacific-Asia Conference on Knowledge Discovery and Data Mining</t>
  </si>
  <si>
    <t>PAM</t>
  </si>
  <si>
    <t>Passive and Active Network Measurement Conference</t>
  </si>
  <si>
    <t>PDP</t>
  </si>
  <si>
    <t>Euromicro International Conference on Parallel, Distributed and Network-Based Processing</t>
  </si>
  <si>
    <t>RE</t>
  </si>
  <si>
    <t>IEEE International Requirements Engineering Conference</t>
  </si>
  <si>
    <t>RECOMB</t>
  </si>
  <si>
    <t>International Conference on Research in Computational Molecular Biology</t>
  </si>
  <si>
    <t>RTSS</t>
  </si>
  <si>
    <t>Real-Time Systems Symposium</t>
  </si>
  <si>
    <t>SACRYPT</t>
  </si>
  <si>
    <t>Workshop on Selected Areas in Cryptography</t>
  </si>
  <si>
    <t>SANER</t>
  </si>
  <si>
    <t>IEEE International Conference on Software Analysis, Evolution and Reengineering</t>
  </si>
  <si>
    <t>SAT</t>
  </si>
  <si>
    <t>International Conference on Theory and Applications of Satisfiability Testing</t>
  </si>
  <si>
    <t>SEA</t>
  </si>
  <si>
    <t>International Symposium on Experimental Algorithms</t>
  </si>
  <si>
    <t>SEAMS</t>
  </si>
  <si>
    <t>International Symposium on Software Engineering for Adaptive and Self-Managing Systems</t>
  </si>
  <si>
    <t>SERVICES</t>
  </si>
  <si>
    <t>IEEE World Congress on Services</t>
  </si>
  <si>
    <t>SIGGRAPH</t>
  </si>
  <si>
    <t>International Conference and Exibition on Computer Graphics and Interactive Techniques</t>
  </si>
  <si>
    <t>SLT</t>
  </si>
  <si>
    <t>Workshop on Spoken Language Technology</t>
  </si>
  <si>
    <t>SMC</t>
  </si>
  <si>
    <t>IEEE International Conference on Systems, Man and Cybernetics</t>
  </si>
  <si>
    <t>TABLETOPS</t>
  </si>
  <si>
    <t>International Conference on Interactive Tabletops and Surfaces</t>
  </si>
  <si>
    <t>TEI</t>
  </si>
  <si>
    <t>International Conference on Tangible, Embedded and Embodied Interaction</t>
  </si>
  <si>
    <t>TREC</t>
  </si>
  <si>
    <t>Text Retrieval Conference</t>
  </si>
  <si>
    <t>TRUSTCOM</t>
  </si>
  <si>
    <t>International Conference on Trust, Security and Privacy in Computing and Communications</t>
  </si>
  <si>
    <t>UCC</t>
  </si>
  <si>
    <t>IEEE/ACM International Conference on Utility and Cloud Computing</t>
  </si>
  <si>
    <t>UMAP</t>
  </si>
  <si>
    <t>International Conference on User Modeling, Adaptation and Personalization</t>
  </si>
  <si>
    <t>VAMOS</t>
  </si>
  <si>
    <t>International Workshop on Variability Modelling of Software-intensive Systems</t>
  </si>
  <si>
    <t>VAST</t>
  </si>
  <si>
    <t>IEEE Conference on Visual Analytics Science and Technology</t>
  </si>
  <si>
    <t>VNC</t>
  </si>
  <si>
    <t>IEEE Vehicular Networking Conference</t>
  </si>
  <si>
    <t>WCRE</t>
  </si>
  <si>
    <t>Working Conference on Reverse Engineering</t>
  </si>
  <si>
    <t>WEBSCI</t>
  </si>
  <si>
    <t>Web Science Conference</t>
  </si>
  <si>
    <t>WIMOB</t>
  </si>
  <si>
    <t>IEEE International Conference on Wireless and Mobile Computing, Networking and Communications</t>
  </si>
  <si>
    <t>WOWMOM</t>
  </si>
  <si>
    <t>International Symposium on a World of Wireless, Mobile and Multimedia Networks</t>
  </si>
  <si>
    <t>WSC</t>
  </si>
  <si>
    <t>Winter Simulation Conference</t>
  </si>
  <si>
    <t>3DIC</t>
  </si>
  <si>
    <t>International 3D System Integration Conference</t>
  </si>
  <si>
    <t>3DTV</t>
  </si>
  <si>
    <t>3DTV Conference: The True Vision-Capture, Transmission and Display of 3D Video</t>
  </si>
  <si>
    <t>3DUI</t>
  </si>
  <si>
    <t>IEEE Symposium on 3D User Interfaces</t>
  </si>
  <si>
    <t>3PGCIC</t>
  </si>
  <si>
    <t>International Conference on P2P, Parallel, Grid, Cloud and Internet Computing</t>
  </si>
  <si>
    <t>ACE</t>
  </si>
  <si>
    <t>International Conference on Advances in Computer Entertainment Technology</t>
  </si>
  <si>
    <t>ACIVS</t>
  </si>
  <si>
    <t>Advanced Concepts for Intelligent Vision Systems</t>
  </si>
  <si>
    <t>ADBIS</t>
  </si>
  <si>
    <t>East European Conference on Advances in Databases and Information Systems</t>
  </si>
  <si>
    <t>ADHOC-NOW</t>
  </si>
  <si>
    <t>OW - International Conference on Ad-Hoc Networks and Wireless</t>
  </si>
  <si>
    <t>AGI</t>
  </si>
  <si>
    <t>Conference on Artificial General Intelligence</t>
  </si>
  <si>
    <t>AGILE</t>
  </si>
  <si>
    <t>Agile Conference</t>
  </si>
  <si>
    <t>AH</t>
  </si>
  <si>
    <t>Augmented Human International Conference</t>
  </si>
  <si>
    <t>AHS</t>
  </si>
  <si>
    <t>NASA/ESA Conference on Adaptive Hardware and Systems</t>
  </si>
  <si>
    <t>AI</t>
  </si>
  <si>
    <t>Canadian Conference on Artificial Intelligence</t>
  </si>
  <si>
    <t>AMW</t>
  </si>
  <si>
    <t>Alberto Mendelzon International Workshop on Foundations of Data Management</t>
  </si>
  <si>
    <t>APLAS</t>
  </si>
  <si>
    <t>Asian Symposium on Programming Languages and Systems</t>
  </si>
  <si>
    <t>ARC</t>
  </si>
  <si>
    <t>International Symposium on Applied Reconfigurable Computing</t>
  </si>
  <si>
    <t>ASAP</t>
  </si>
  <si>
    <t>IEEE International Conference on Application-specific Systems, Architectures and Processors</t>
  </si>
  <si>
    <t>BIBE</t>
  </si>
  <si>
    <t>IEEE International Conference on BioInformatics and BioEngineering</t>
  </si>
  <si>
    <t>BIBM</t>
  </si>
  <si>
    <t>IEEE International Conference on Bioinformatics and Biomedicine</t>
  </si>
  <si>
    <t>BIGDATA</t>
  </si>
  <si>
    <t>IEEE International Congress on BigData</t>
  </si>
  <si>
    <t>BIOSIG</t>
  </si>
  <si>
    <t>International Conference of the Biometrics Special Interest Group</t>
  </si>
  <si>
    <t>BMEI</t>
  </si>
  <si>
    <t>International Conference BioMedical Engineering and Informatics</t>
  </si>
  <si>
    <t>BMSB</t>
  </si>
  <si>
    <t>IEEE International Symposium on Broadband Multimedia Systems and Broadcasting</t>
  </si>
  <si>
    <t>CAIP</t>
  </si>
  <si>
    <t>International Conference on Computer Analysis of Images and Patterns</t>
  </si>
  <si>
    <t>CANS</t>
  </si>
  <si>
    <t>International Conference on Cryptology and Network Security</t>
  </si>
  <si>
    <t>CASCON</t>
  </si>
  <si>
    <t>Annual International Conference on Computer Science and Software Engineering</t>
  </si>
  <si>
    <t>CASE</t>
  </si>
  <si>
    <t>IEEE Conference on Automation Science and Engineering</t>
  </si>
  <si>
    <t>CASES</t>
  </si>
  <si>
    <t>International Conference on Compilers, Architecture, and Synthesis for Embedded Systems</t>
  </si>
  <si>
    <t>CASON</t>
  </si>
  <si>
    <t>International Conferennce on Computational Aspects of Social Networks</t>
  </si>
  <si>
    <t>CBI</t>
  </si>
  <si>
    <t>IEEE Conference on Business Informatics</t>
  </si>
  <si>
    <t>CBMI</t>
  </si>
  <si>
    <t>International Workshop on Content-Based Multimedia Indexing</t>
  </si>
  <si>
    <t>CBMS</t>
  </si>
  <si>
    <t>International Symposium on Computer-Based Medical Systems</t>
  </si>
  <si>
    <t>CBSE</t>
  </si>
  <si>
    <t>International ACM Sigsoft Symposium on Component-Based Software Engineering</t>
  </si>
  <si>
    <t>CCCG</t>
  </si>
  <si>
    <t>Canadian Conference on Computational Geometry</t>
  </si>
  <si>
    <t>CCECE</t>
  </si>
  <si>
    <t>Canadian Conference on Electrical and Computer Engineering</t>
  </si>
  <si>
    <t>CDC</t>
  </si>
  <si>
    <t>IEEE Conference on Decision and Control</t>
  </si>
  <si>
    <t>CF</t>
  </si>
  <si>
    <t>ACM International Conference on Computing Frontiers</t>
  </si>
  <si>
    <t>CGC</t>
  </si>
  <si>
    <t>International Conference on Cloud and Green Computing</t>
  </si>
  <si>
    <t>CHASE</t>
  </si>
  <si>
    <t>International Workshop on Cooperative and Human Aspects of Software Engineering</t>
  </si>
  <si>
    <t>CIARP</t>
  </si>
  <si>
    <t>Iberoamerican Congress on Pattern Recognition</t>
  </si>
  <si>
    <t>CIDM</t>
  </si>
  <si>
    <t>Symposium on Computational Intelligence and Data Mining</t>
  </si>
  <si>
    <t>CISIS</t>
  </si>
  <si>
    <t>International Conference on Complex, Intelligent, and Software Intensive Systems</t>
  </si>
  <si>
    <t>CIT</t>
  </si>
  <si>
    <t>IEEE International Conference on Computer and Information Technology</t>
  </si>
  <si>
    <t>CloudNet</t>
  </si>
  <si>
    <t>IEEE International Conference on Cloud Networking</t>
  </si>
  <si>
    <t>CMSB</t>
  </si>
  <si>
    <t>International Conference on Computational Methods in Systems Biology</t>
  </si>
  <si>
    <t>COCOON</t>
  </si>
  <si>
    <t>International Computing and Combinatorics Conference</t>
  </si>
  <si>
    <t>CogSIMA</t>
  </si>
  <si>
    <t>IEEE International Multi-Disciplinary Conference on Cognitive Methods in Situation Awareness and Decision Support</t>
  </si>
  <si>
    <t>COMMA</t>
  </si>
  <si>
    <t>International Conference on Computational Models of Argument</t>
  </si>
  <si>
    <t>CPM</t>
  </si>
  <si>
    <t>Annual Symposium on Combinatorial Pattern Matching</t>
  </si>
  <si>
    <t>CSCWD</t>
  </si>
  <si>
    <t>IEEE International Conference on Computer Supported Cooperative Work in Design</t>
  </si>
  <si>
    <t>CSE</t>
  </si>
  <si>
    <t>International Conference on Computational Science and Engineering</t>
  </si>
  <si>
    <t>CSEDU</t>
  </si>
  <si>
    <t>International Conference on Computer Supported Education</t>
  </si>
  <si>
    <t>CSEE&amp;T</t>
  </si>
  <si>
    <t>Conference on Software Engineering Education and Training</t>
  </si>
  <si>
    <t>CSNDSP</t>
  </si>
  <si>
    <t>International Symposium on Communication Systems, Networks and Digital Signal Processing</t>
  </si>
  <si>
    <t>DAS</t>
  </si>
  <si>
    <t>International Workshop on Document Analysis Systems</t>
  </si>
  <si>
    <t>DAWAK</t>
  </si>
  <si>
    <t>International Conference on Big Data Analytics and Knowledge Discovery</t>
  </si>
  <si>
    <t>DCC</t>
  </si>
  <si>
    <t>Data Compression Conference</t>
  </si>
  <si>
    <t>DDECS</t>
  </si>
  <si>
    <t>IEEE  International Symposium on Design and Diagnostics of Electronic Circuits and Systems</t>
  </si>
  <si>
    <t>DEXA</t>
  </si>
  <si>
    <t>International Conference on Database and Expert Systems Applications</t>
  </si>
  <si>
    <t>DFT</t>
  </si>
  <si>
    <t>IEEE International Symposium on Defect and Fault Tolerance in VLSI Systems</t>
  </si>
  <si>
    <t>DGO</t>
  </si>
  <si>
    <t>Annual International Conference on Digital Government Research</t>
  </si>
  <si>
    <t>DOCENG</t>
  </si>
  <si>
    <t>ACM SIGWEB International Symposium on Document Engineering</t>
  </si>
  <si>
    <t>DOLAP</t>
  </si>
  <si>
    <t>International Workshop On Data Warehousing and OLAP</t>
  </si>
  <si>
    <t>DRCN</t>
  </si>
  <si>
    <t>International Conference on the Design of Reliable Communication Networks</t>
  </si>
  <si>
    <t>DSD</t>
  </si>
  <si>
    <t>Euromicro Conference on Digital System Design</t>
  </si>
  <si>
    <t>DSRT</t>
  </si>
  <si>
    <t>IEEE/ACM International Symposium on Distributed Simulation and Real Time Applications</t>
  </si>
  <si>
    <t>EASE</t>
  </si>
  <si>
    <t>International Conference on Evaluation and Assessment in Software Engineering</t>
  </si>
  <si>
    <t>ECAL</t>
  </si>
  <si>
    <t>European Conference on Artificial Life</t>
  </si>
  <si>
    <t>ECCTD</t>
  </si>
  <si>
    <t>European Conference on Circuit Theory and Design</t>
  </si>
  <si>
    <t>ECMDAFA</t>
  </si>
  <si>
    <t>European Conference on Modelling Foundations and Applications</t>
  </si>
  <si>
    <t>ECMS</t>
  </si>
  <si>
    <t>European Conference on Modelling and Simulation</t>
  </si>
  <si>
    <t>ECSA</t>
  </si>
  <si>
    <t>European Conference on Software Architecture</t>
  </si>
  <si>
    <t>ECSQARU</t>
  </si>
  <si>
    <t>European Conference on Symbolic and Quantitative Approaches to Reasoning and Uncertainty</t>
  </si>
  <si>
    <t>ECTEL</t>
  </si>
  <si>
    <t>EL - European Conference on Technology Enhanced Learning</t>
  </si>
  <si>
    <t>EGOV</t>
  </si>
  <si>
    <t>International Conference on Electronic Government</t>
  </si>
  <si>
    <t>EMBC</t>
  </si>
  <si>
    <t>Annual International Conference of the IEEE Engineering in Medicine and Biology Society</t>
  </si>
  <si>
    <t>EMO</t>
  </si>
  <si>
    <t>International Conference on Evolutionary Multi-Criterion Optimization</t>
  </si>
  <si>
    <t>EPIA</t>
  </si>
  <si>
    <t>Portuguese Conference on Artificial Intelligence</t>
  </si>
  <si>
    <t>ER</t>
  </si>
  <si>
    <t>International Conference on Conceptual Modeling</t>
  </si>
  <si>
    <t>ESANN</t>
  </si>
  <si>
    <t>European Symposium on Artificial Neural Networks, Computational Intelligence and Machine Learning</t>
  </si>
  <si>
    <t>ESCIENCE</t>
  </si>
  <si>
    <t>cience - IEEE International Conference on e-Science</t>
  </si>
  <si>
    <t>ETS</t>
  </si>
  <si>
    <t>IEEE European Test Symposium</t>
  </si>
  <si>
    <t>EuroGP</t>
  </si>
  <si>
    <t>European Conference on Genetic Programming</t>
  </si>
  <si>
    <t>EUROITV</t>
  </si>
  <si>
    <t>European Conference on Interactive TV and Video</t>
  </si>
  <si>
    <t>EUROMICRO</t>
  </si>
  <si>
    <t>Euromicro Conference on Software Engineering and Advanced Applications</t>
  </si>
  <si>
    <t>EuroSPI</t>
  </si>
  <si>
    <t>European Conference on Software Process Improvement</t>
  </si>
  <si>
    <t>EUSFLAT</t>
  </si>
  <si>
    <t>Conference of the European Society for Fuzzy Logic and Technology</t>
  </si>
  <si>
    <t>EVOAPPLICATIONS</t>
  </si>
  <si>
    <t>European Conference on the Applications of Evolutionary Computation</t>
  </si>
  <si>
    <t>EVOCOP</t>
  </si>
  <si>
    <t>European Conference on Evolutionary Computation in Combinatorial Optimization</t>
  </si>
  <si>
    <t>EWSDN</t>
  </si>
  <si>
    <t>European Workshop on Software Defined Networks</t>
  </si>
  <si>
    <t>FEDCSIS</t>
  </si>
  <si>
    <t>Federated Conference on Computer Science and Information Systems</t>
  </si>
  <si>
    <t>FIE</t>
  </si>
  <si>
    <t>IEEE Frontiers in Education Conference</t>
  </si>
  <si>
    <t>FLAIRS</t>
  </si>
  <si>
    <t>International Florida Artificial Intelligence Conference</t>
  </si>
  <si>
    <t>FSKD</t>
  </si>
  <si>
    <t>International Conference on Fuzzy Systems and Knowledge Discovery</t>
  </si>
  <si>
    <t>FSTTCS</t>
  </si>
  <si>
    <t>Annual Conference on Foundations of Software Technology and Theoretical Computer Science</t>
  </si>
  <si>
    <t>FUZZIEEE</t>
  </si>
  <si>
    <t>IEEE International Conference on Fuzzy Systems</t>
  </si>
  <si>
    <t>GI</t>
  </si>
  <si>
    <t>Graphics Interface Conference</t>
  </si>
  <si>
    <t>GLOBALSIP</t>
  </si>
  <si>
    <t>Global Conference on Signal and Information Processing</t>
  </si>
  <si>
    <t>GLVLSI</t>
  </si>
  <si>
    <t>ACM Great Lakes Symposium on VLSI</t>
  </si>
  <si>
    <t>GRAPP</t>
  </si>
  <si>
    <t>International Conference on Computer Graphics Theory and Applications</t>
  </si>
  <si>
    <t>HAIS</t>
  </si>
  <si>
    <t>International Conference on Hybrid Artificial Intelligence Systems</t>
  </si>
  <si>
    <t>HASE</t>
  </si>
  <si>
    <t>IEEE International Symposium on High Assurance Systems Engineering</t>
  </si>
  <si>
    <t>HCOMP</t>
  </si>
  <si>
    <t>Conference on Human Computation and Crowdsourcing</t>
  </si>
  <si>
    <t>HIPC</t>
  </si>
  <si>
    <t>IEEE International Conference on High Performance Computing</t>
  </si>
  <si>
    <t>HOST</t>
  </si>
  <si>
    <t>IEEE International Symposium on Hardware Oriented Security and Trust</t>
  </si>
  <si>
    <t>HPCS</t>
  </si>
  <si>
    <t>International Conference on High Performance Computing &amp; Simulation</t>
  </si>
  <si>
    <t>HVC</t>
  </si>
  <si>
    <t>International Haifa Verification Conference</t>
  </si>
  <si>
    <t>IAT</t>
  </si>
  <si>
    <t>IEEE/WIC/ACM International Conference on Intelligent Agent Technology</t>
  </si>
  <si>
    <t>ICA3PP</t>
  </si>
  <si>
    <t>International Conference on Algorithms and Architectures for Parallel Processing</t>
  </si>
  <si>
    <t>ICAART</t>
  </si>
  <si>
    <t>International Conference on Agents and Artificial Intelligence</t>
  </si>
  <si>
    <t>ICALT</t>
  </si>
  <si>
    <t>IEEE International Conference on Advanced Learning Technologies</t>
  </si>
  <si>
    <t>ICANN</t>
  </si>
  <si>
    <t>International Conference on Artificial Neural Networks</t>
  </si>
  <si>
    <t>ICAR</t>
  </si>
  <si>
    <t>International Conference on Advanced Robotics</t>
  </si>
  <si>
    <t>ICARV</t>
  </si>
  <si>
    <t>International Conference on Control, Automation, Robotics and Vision</t>
  </si>
  <si>
    <t>ICCA</t>
  </si>
  <si>
    <t>IEEE International Conference on Control and Automation</t>
  </si>
  <si>
    <t>ICCP</t>
  </si>
  <si>
    <t>IEEE International Conference on Intelligent Computer Communication and Processing</t>
  </si>
  <si>
    <t>ICCSA</t>
  </si>
  <si>
    <t>International Conference on Computational Science and Its Applications</t>
  </si>
  <si>
    <t>ICDSP</t>
  </si>
  <si>
    <t>IEEE International Conference on Digital Signal Processing</t>
  </si>
  <si>
    <t>ICEBE</t>
  </si>
  <si>
    <t>IEEE International Conference on e-Business Engineering</t>
  </si>
  <si>
    <t>ICEC</t>
  </si>
  <si>
    <t>IFIP International Conference on Entertainment Computing</t>
  </si>
  <si>
    <t>ICECCS</t>
  </si>
  <si>
    <t>International Conference on Engineering of Complex Computer</t>
  </si>
  <si>
    <t>ICECS</t>
  </si>
  <si>
    <t>IEEE International Conference on Electronics, Circuits and Systems</t>
  </si>
  <si>
    <t>ICFEM</t>
  </si>
  <si>
    <t>International Conference on Formal Engineering Methods</t>
  </si>
  <si>
    <t>ICFHR</t>
  </si>
  <si>
    <t>International Conference on Frontiers in Handwriting Recognition</t>
  </si>
  <si>
    <t>ICGSE</t>
  </si>
  <si>
    <t>IEEE International Conference on Global Software Engineering</t>
  </si>
  <si>
    <t>ICIAP</t>
  </si>
  <si>
    <t>International Conference on Image Analysis and Processing</t>
  </si>
  <si>
    <t>ICIAR</t>
  </si>
  <si>
    <t>International Conference on Image Analysis and Recognition</t>
  </si>
  <si>
    <t>ICIC</t>
  </si>
  <si>
    <t>International Conference on Intelligent Computing</t>
  </si>
  <si>
    <t>ICISS</t>
  </si>
  <si>
    <t>International Conference on Information Systems Security</t>
  </si>
  <si>
    <t>ICITST</t>
  </si>
  <si>
    <t>International Conference for Internet Technology and Secured Transactions</t>
  </si>
  <si>
    <t>ICLP</t>
  </si>
  <si>
    <t>International Conference on Logic Programming</t>
  </si>
  <si>
    <t>ICM</t>
  </si>
  <si>
    <t>International Conference on Microelectronics</t>
  </si>
  <si>
    <t>ICMC</t>
  </si>
  <si>
    <t>International Computer Music Conference</t>
  </si>
  <si>
    <t>ICMLA</t>
  </si>
  <si>
    <t>IEEE International Conference on Machine Learning and Applications</t>
  </si>
  <si>
    <t>ICNC</t>
  </si>
  <si>
    <t>IInternational Conference on Natural Computation</t>
  </si>
  <si>
    <t>ICNSC</t>
  </si>
  <si>
    <t>IEEE International Conference on Networking, Sensing and Control</t>
  </si>
  <si>
    <t>ICOIN</t>
  </si>
  <si>
    <t>International Conference on Information Networking</t>
  </si>
  <si>
    <t>ICONIP</t>
  </si>
  <si>
    <t>International Conference on Neural Information Processing</t>
  </si>
  <si>
    <t>ICSC</t>
  </si>
  <si>
    <t>International Conference on Semantic Computing</t>
  </si>
  <si>
    <t>ICSI</t>
  </si>
  <si>
    <t>International Conference on Swarm Intelligence</t>
  </si>
  <si>
    <t>ICSOB</t>
  </si>
  <si>
    <t>International Conference on Software Business</t>
  </si>
  <si>
    <t>ICSOFT</t>
  </si>
  <si>
    <t>International Conference on Software and Data Technologies</t>
  </si>
  <si>
    <t>ICST</t>
  </si>
  <si>
    <t>International Conference on Sensing Technology</t>
  </si>
  <si>
    <t>ICT</t>
  </si>
  <si>
    <t>International Conference on Telecommunications</t>
  </si>
  <si>
    <t>ICTAI</t>
  </si>
  <si>
    <t>IEEE International Conference on Tools with Artificial Intelligence</t>
  </si>
  <si>
    <t>ICVS</t>
  </si>
  <si>
    <t>International Conference on Computer Vision Systems</t>
  </si>
  <si>
    <t>ICWE</t>
  </si>
  <si>
    <t>International Conference on Web Engineering</t>
  </si>
  <si>
    <t>IECON</t>
  </si>
  <si>
    <t>Annual Conference of the IEEE Industrial Electronics Society</t>
  </si>
  <si>
    <t>IEEEANTS</t>
  </si>
  <si>
    <t>IEEE International Conference on Advanced Networks and Telecommuncations Systems</t>
  </si>
  <si>
    <t>IFAC</t>
  </si>
  <si>
    <t>World Congress of the International Federation of Automatic Control</t>
  </si>
  <si>
    <t>IIWAS</t>
  </si>
  <si>
    <t>International Conference on Information Integration and Web-based Applications &amp; Services</t>
  </si>
  <si>
    <t>INCOS</t>
  </si>
  <si>
    <t>International Conference on Intelligent Networking and Collaborative Systems</t>
  </si>
  <si>
    <t>INDIN</t>
  </si>
  <si>
    <t>IEEE International Conference on Industrial Informatics</t>
  </si>
  <si>
    <t>IOLTS</t>
  </si>
  <si>
    <t>IEEE International On-Line Testing Symposium</t>
  </si>
  <si>
    <t>IPCCC</t>
  </si>
  <si>
    <t>International Performance, Computing, and Communications Conference</t>
  </si>
  <si>
    <t>IPCO</t>
  </si>
  <si>
    <t>Conference on Integer Programming and Combinatorial Optimization</t>
  </si>
  <si>
    <t>IRI</t>
  </si>
  <si>
    <t>IEEE International Conference on Information Reuse and Integration</t>
  </si>
  <si>
    <t>ISAAC</t>
  </si>
  <si>
    <t>International Symposium Algorithms and Computation</t>
  </si>
  <si>
    <t>ISCIS</t>
  </si>
  <si>
    <t>International Symposium on Computer and Information Sciences</t>
  </si>
  <si>
    <t>ISDA</t>
  </si>
  <si>
    <t>International Conference on Intelligent Systems Design and Applications</t>
  </si>
  <si>
    <t>ISEUD</t>
  </si>
  <si>
    <t>UD - International Symposium on End-User Development</t>
  </si>
  <si>
    <t>ISI</t>
  </si>
  <si>
    <t>IEEE International Conference on Intelligence and Security Informatics</t>
  </si>
  <si>
    <t>ISM</t>
  </si>
  <si>
    <t>IEEE International Symposium on Multimedia</t>
  </si>
  <si>
    <t>ISMIS</t>
  </si>
  <si>
    <t>International Symposium on Methodologies for Intelligent Systems</t>
  </si>
  <si>
    <t>ISMM</t>
  </si>
  <si>
    <t>International Symposium on Mathematical Morphology</t>
  </si>
  <si>
    <t>ISNN</t>
  </si>
  <si>
    <t>International Symposium on Neural Networks</t>
  </si>
  <si>
    <t>ISOLA</t>
  </si>
  <si>
    <t>International Symposium on Leveraging Applications of Formal Methods, Verification and Validation</t>
  </si>
  <si>
    <t>ISORC</t>
  </si>
  <si>
    <t>IEEE International Symposium on RealTime Distributed Computing</t>
  </si>
  <si>
    <t>ISPD</t>
  </si>
  <si>
    <t>ACM International Symposium on Physical Design</t>
  </si>
  <si>
    <t>ISPDC</t>
  </si>
  <si>
    <t>International Symposium on Parallel and Distributed Computing</t>
  </si>
  <si>
    <t>ISQED</t>
  </si>
  <si>
    <t>International Symposium on Quality Electronic Design</t>
  </si>
  <si>
    <t>ISVC</t>
  </si>
  <si>
    <t>International Symposium on Visual Computing</t>
  </si>
  <si>
    <t>ISVLSI</t>
  </si>
  <si>
    <t>IEEE Computer Society Annual Symposium on VLSI</t>
  </si>
  <si>
    <t>ITC</t>
  </si>
  <si>
    <t>International Test Conference</t>
  </si>
  <si>
    <t>ITNG</t>
  </si>
  <si>
    <t>International Conference on Information Technology : New Generations</t>
  </si>
  <si>
    <t>ITS</t>
  </si>
  <si>
    <t>International Conference on Intelligent Tutoring Systems</t>
  </si>
  <si>
    <t>IV</t>
  </si>
  <si>
    <t>International Conference on Information Visualization</t>
  </si>
  <si>
    <t>IVA</t>
  </si>
  <si>
    <t>International Conference on Intelligent Virtual Agents</t>
  </si>
  <si>
    <t>IVAPP</t>
  </si>
  <si>
    <t>International Conference on Information Visualization Theory and Applications</t>
  </si>
  <si>
    <t>IVS</t>
  </si>
  <si>
    <t>Intelligent Vehicles Symposium</t>
  </si>
  <si>
    <t>IWANN</t>
  </si>
  <si>
    <t>International Work-Conference on Artificial and Natural Neural Networks</t>
  </si>
  <si>
    <t>IWSSIP</t>
  </si>
  <si>
    <t>International Conference on Systems, Signals and Image Processing</t>
  </si>
  <si>
    <t>KES</t>
  </si>
  <si>
    <t>International Conference on Knowledge-Based and Intelligent Information &amp; Engineering Systems</t>
  </si>
  <si>
    <t>KESAMSTA</t>
  </si>
  <si>
    <t>MSTA - International KES Conference on Agents and Multi-Agent Systems: Technologies and Applications</t>
  </si>
  <si>
    <t>LATIN</t>
  </si>
  <si>
    <t>Latin American Symposium on Theoretical Informatics</t>
  </si>
  <si>
    <t>LCN</t>
  </si>
  <si>
    <t>IEEE Conference on Local Computer Networks</t>
  </si>
  <si>
    <t>LION</t>
  </si>
  <si>
    <t>Learning and Intelligent Optimization Conference</t>
  </si>
  <si>
    <t>LPNMR</t>
  </si>
  <si>
    <t>International Conference on Logic Programming and Non-monotonic Reasoning</t>
  </si>
  <si>
    <t>MEDHOCNET</t>
  </si>
  <si>
    <t>oc-Net - Mediterranean Ad Hoc Networking Workshop</t>
  </si>
  <si>
    <t>MICAI</t>
  </si>
  <si>
    <t>Mexican International Conference on Artificial Intelligence</t>
  </si>
  <si>
    <t>MIG</t>
  </si>
  <si>
    <t>ACM Siggraph Conference on Motion in Games</t>
  </si>
  <si>
    <t>MLDM</t>
  </si>
  <si>
    <t>International Conference on Machine Learning and Data Mining in Pattern Recognition</t>
  </si>
  <si>
    <t>MLSP</t>
  </si>
  <si>
    <t>IEEE International Workshop on Machine Learning for Signal Processing</t>
  </si>
  <si>
    <t>MMM</t>
  </si>
  <si>
    <t>International Conference on Multimedia Modelling</t>
  </si>
  <si>
    <t>MMSP</t>
  </si>
  <si>
    <t>International Workshop on Multimedia and Signal Processing</t>
  </si>
  <si>
    <t>MOBIQUITOUS</t>
  </si>
  <si>
    <t>International Conference on Mobile and Ubiquitous Systems: Computing, Networking and Services</t>
  </si>
  <si>
    <t>MSWIM</t>
  </si>
  <si>
    <t>ACM International Conference on Modeling, Analysis and Simulation of Wireless and Mobile Systems</t>
  </si>
  <si>
    <t>MUM</t>
  </si>
  <si>
    <t>International Conference on Mobile and Ubiquitous Multimedia</t>
  </si>
  <si>
    <t>MWSCAS</t>
  </si>
  <si>
    <t>International Midwest Symposium on Circuits and Systems</t>
  </si>
  <si>
    <t>NCA</t>
  </si>
  <si>
    <t>IEEE International Symposium on Network Computing and Applications</t>
  </si>
  <si>
    <t>NEWCAS</t>
  </si>
  <si>
    <t>IEEE International New Circuits and Systems Conference</t>
  </si>
  <si>
    <t>NIME</t>
  </si>
  <si>
    <t>International Conference on New Interfaces for Musical Expression</t>
  </si>
  <si>
    <t>NLDB</t>
  </si>
  <si>
    <t>International Conference on Application of Natural Language to Information Systems</t>
  </si>
  <si>
    <t>NordiCHI</t>
  </si>
  <si>
    <t>Nordic Conference on Human-Computer Interaction</t>
  </si>
  <si>
    <t>NTMS</t>
  </si>
  <si>
    <t>IFIP International Conference on New Technologies, Mobility and Security</t>
  </si>
  <si>
    <t>OFC</t>
  </si>
  <si>
    <t>IEEE Optical Fiber Communication Conference</t>
  </si>
  <si>
    <t>OPODIS</t>
  </si>
  <si>
    <t>International Conference on Principles of Distributed Systems</t>
  </si>
  <si>
    <t>OzCHI</t>
  </si>
  <si>
    <t>Australian Conference on Human-Computer Interaction</t>
  </si>
  <si>
    <t>P2P</t>
  </si>
  <si>
    <t>International Conference on Peer-to-Peer Computing</t>
  </si>
  <si>
    <t>PAAMS</t>
  </si>
  <si>
    <t>International Conference on Practical Applications of Agents, Multi-Agent Systems and Sustainability</t>
  </si>
  <si>
    <t>PACIS</t>
  </si>
  <si>
    <t>Pacific Asia Conference on Information Systems</t>
  </si>
  <si>
    <t>PACT</t>
  </si>
  <si>
    <t>International Conference on Parallel Computing Technologies</t>
  </si>
  <si>
    <t>PADS</t>
  </si>
  <si>
    <t>ACM SIGSIM Conference on Principles of Advanced Discrete Simulation</t>
  </si>
  <si>
    <t>ParCO</t>
  </si>
  <si>
    <t>International Conference on Parallel Computing</t>
  </si>
  <si>
    <t>PCS</t>
  </si>
  <si>
    <t>Picture Coding Symposium</t>
  </si>
  <si>
    <t>PDCAT</t>
  </si>
  <si>
    <t>International Conference on Parallel and Distributed Computing, Applications and Technologies</t>
  </si>
  <si>
    <t>PESGM</t>
  </si>
  <si>
    <t>IEEE Power &amp; Energy Society General Meeting</t>
  </si>
  <si>
    <t>PETRA</t>
  </si>
  <si>
    <t>ACM International Conference on PErvasive Technologies Related to Assistive Environments</t>
  </si>
  <si>
    <t>PPDP</t>
  </si>
  <si>
    <t>International Symposium on Principles and Practice of Declarative Programming</t>
  </si>
  <si>
    <t>PPSN</t>
  </si>
  <si>
    <t>International Conference on Parallel Problem Solving from Nature</t>
  </si>
  <si>
    <t>PRDC</t>
  </si>
  <si>
    <t>Pacific Rim International Symposium on Dependable Computing</t>
  </si>
  <si>
    <t>PROFES</t>
  </si>
  <si>
    <t>International Conference on Product-Focused Software Process Improvement</t>
  </si>
  <si>
    <t>PST</t>
  </si>
  <si>
    <t>International Conference on Privacy, Security and Trust</t>
  </si>
  <si>
    <t>QEST</t>
  </si>
  <si>
    <t>International Conference on Quantitative Evaluation of Systems</t>
  </si>
  <si>
    <t>QoMEX</t>
  </si>
  <si>
    <t>International Workshop on Quality of Multimedia Experience</t>
  </si>
  <si>
    <t>RAMS</t>
  </si>
  <si>
    <t>Annual Reliability and Maintainability Symposium</t>
  </si>
  <si>
    <t>RANLP</t>
  </si>
  <si>
    <t>International Conference on Recent Advances in Natural Language Processing</t>
  </si>
  <si>
    <t>RCIS</t>
  </si>
  <si>
    <t>International Conference on Research Challenges in Information Science</t>
  </si>
  <si>
    <t>RECONFIG</t>
  </si>
  <si>
    <t>International Conference on Reconfigurable Computing and FPGAs</t>
  </si>
  <si>
    <t>RECOSOC</t>
  </si>
  <si>
    <t>International Symposium on Reconfigurable Communication-centric Systems-on-Chip</t>
  </si>
  <si>
    <t>REFSQ</t>
  </si>
  <si>
    <t>International Working Conference on Requirements Engineering: Foundations for Software Quality</t>
  </si>
  <si>
    <t>RFID</t>
  </si>
  <si>
    <t>IEEE International Conference on RFID</t>
  </si>
  <si>
    <t>ROBOCUP</t>
  </si>
  <si>
    <t>Robocup International Symposium</t>
  </si>
  <si>
    <t>RTCSA</t>
  </si>
  <si>
    <t>International Conference on Embedded and Real-Time Computing Systems and Applications</t>
  </si>
  <si>
    <t>RuleML</t>
  </si>
  <si>
    <t>International Web Rule Symposium</t>
  </si>
  <si>
    <t>SACI</t>
  </si>
  <si>
    <t>IEEE International Symposium on Applied Computational Intelligence and Informatics</t>
  </si>
  <si>
    <t>SAFECOMP</t>
  </si>
  <si>
    <t>International Conference on Computer Safety, Reliability, and Security</t>
  </si>
  <si>
    <t>SAMOS</t>
  </si>
  <si>
    <t>International Conference on Embedded Computer Systems: Architectures, Modeling and Simulation</t>
  </si>
  <si>
    <t>SAS</t>
  </si>
  <si>
    <t>IEEE Sensors Applications Symposium</t>
  </si>
  <si>
    <t>SASO</t>
  </si>
  <si>
    <t>International Conference on Self-Adaptive and Self-Organizing Systems</t>
  </si>
  <si>
    <t>SBAC-PAD</t>
  </si>
  <si>
    <t>AD - International Symposium on Computer Architecture and High Performance Computing</t>
  </si>
  <si>
    <t>SBIE</t>
  </si>
  <si>
    <t>Simpósio Brasileiro de Informática na Educação</t>
  </si>
  <si>
    <t>SCAM</t>
  </si>
  <si>
    <t>IEEE International Working Conference on Source Code Analysis and Manipulation</t>
  </si>
  <si>
    <t>SEC</t>
  </si>
  <si>
    <t>International Conference on ICT Systems Security and Privacy Protection</t>
  </si>
  <si>
    <t>SEFM</t>
  </si>
  <si>
    <t>International Conference on Software Engineering and Formal Methods</t>
  </si>
  <si>
    <t>SEKE</t>
  </si>
  <si>
    <t>International Conference on Software Engineering and Knowledge Engineering</t>
  </si>
  <si>
    <t>SIBGRAPI</t>
  </si>
  <si>
    <t>Conference on Graphics, Patterns and Images</t>
  </si>
  <si>
    <t>SIMUTOOLS</t>
  </si>
  <si>
    <t>International Conference on Simulation Tools and Techniques</t>
  </si>
  <si>
    <t>SMARTGRIDCOMM</t>
  </si>
  <si>
    <t>IEEE International Conference on Smart Grid Communications</t>
  </si>
  <si>
    <t>SOCINFO</t>
  </si>
  <si>
    <t>International Conference on Social Informatics</t>
  </si>
  <si>
    <t>SOCS</t>
  </si>
  <si>
    <t>International Symposium on Combinatorial Search</t>
  </si>
  <si>
    <t>SOFSEM</t>
  </si>
  <si>
    <t>International Conference on Current Trends in Theory and Practice of Computer Science</t>
  </si>
  <si>
    <t>SOFTCOM</t>
  </si>
  <si>
    <t>International Conference on Software, Telecommunications and Computer Networks</t>
  </si>
  <si>
    <t>SOSE</t>
  </si>
  <si>
    <t>IEEE International Symposium on Service-Oriented System Engineering</t>
  </si>
  <si>
    <t>SPIRE</t>
  </si>
  <si>
    <t>International Symposium on String Processing and Information Retrieval</t>
  </si>
  <si>
    <t>SRDS</t>
  </si>
  <si>
    <t>IEEE Symposium on Reliable Distributed Systems</t>
  </si>
  <si>
    <t>SSBSE</t>
  </si>
  <si>
    <t>International Symposium on Search Based Software Engineering</t>
  </si>
  <si>
    <t>SSDBM</t>
  </si>
  <si>
    <t>International Conference on Scientific and Statistical Database Management</t>
  </si>
  <si>
    <t>SSTD</t>
  </si>
  <si>
    <t>International Symposium on Spatial and Temporal Databases</t>
  </si>
  <si>
    <t>SUM</t>
  </si>
  <si>
    <t>International Conference on Scalable Uncertainty Management</t>
  </si>
  <si>
    <t>SYSCON</t>
  </si>
  <si>
    <t>IEEE International Systems Conference</t>
  </si>
  <si>
    <t>TPDL</t>
  </si>
  <si>
    <t>International Conference on Theory and Practice of Digital Libraries</t>
  </si>
  <si>
    <t>TSD</t>
  </si>
  <si>
    <t>International Conference on Text, Speech and Dialogue</t>
  </si>
  <si>
    <t>UKSIM</t>
  </si>
  <si>
    <t>International Conference on Computer Modelling and Simulation</t>
  </si>
  <si>
    <t>VCIP</t>
  </si>
  <si>
    <t>IEEE International Conference on Visual Communications and Image Processing</t>
  </si>
  <si>
    <t>VISAPP</t>
  </si>
  <si>
    <t>International Conference on Computer Vision Theory and Applications</t>
  </si>
  <si>
    <t>VISSOFT</t>
  </si>
  <si>
    <t>IEEE Working Conference on Software Visualization</t>
  </si>
  <si>
    <t>VLHCC</t>
  </si>
  <si>
    <t>IEEE Symposium on Visual Languages and Human-Centric Computing</t>
  </si>
  <si>
    <t>VLSI</t>
  </si>
  <si>
    <t>OC - International Conference on Very Large Scale Integration</t>
  </si>
  <si>
    <t>VLSID</t>
  </si>
  <si>
    <t>International Conference on VLSI Design</t>
  </si>
  <si>
    <t>VR</t>
  </si>
  <si>
    <t>IEEE Virtual Reality Conference</t>
  </si>
  <si>
    <t>VRCAI</t>
  </si>
  <si>
    <t>International Conference on Virtual Reality Continuum and its Applications</t>
  </si>
  <si>
    <t>VTC</t>
  </si>
  <si>
    <t>Vehicular Technology Conference</t>
  </si>
  <si>
    <t>VTS</t>
  </si>
  <si>
    <t>IEEE VLSI Test Symposium</t>
  </si>
  <si>
    <t>W4A</t>
  </si>
  <si>
    <t>Conference on Web Accessibility</t>
  </si>
  <si>
    <t>WABI</t>
  </si>
  <si>
    <t>Workshop on Algorithms in Bioinformatics</t>
  </si>
  <si>
    <t>WCNC</t>
  </si>
  <si>
    <t>IEEE Wireless Communications and Networking Conference</t>
  </si>
  <si>
    <t>WD</t>
  </si>
  <si>
    <t>Wireless Days Conference</t>
  </si>
  <si>
    <t>WEB3D</t>
  </si>
  <si>
    <t>International Conference on 3D Web Technology</t>
  </si>
  <si>
    <t>WETICE</t>
  </si>
  <si>
    <t>IEEE International Conference on Enabling Technologies: Infrastructure for Collaborative Enterprises</t>
  </si>
  <si>
    <t>WFCS</t>
  </si>
  <si>
    <t>IEEE World Conference on Factory Communication Systems</t>
  </si>
  <si>
    <t>WG</t>
  </si>
  <si>
    <t>International Workshop on Graph-Theoretic Concepts in Computer Science</t>
  </si>
  <si>
    <t>WICSA</t>
  </si>
  <si>
    <t>Working IEEE/IFIP Conference on Software Architecture</t>
  </si>
  <si>
    <t>WIFS</t>
  </si>
  <si>
    <t>IEEE Workshop on Information Forensics and Security</t>
  </si>
  <si>
    <t>WI-IAT</t>
  </si>
  <si>
    <t>AT - IEEE/WIC/ACM International Conference on Web Intelligence and Intelligent Agent Technology</t>
  </si>
  <si>
    <t>WISE</t>
  </si>
  <si>
    <t>International Conference on Web Information Systems Engineering</t>
  </si>
  <si>
    <t>WMNC</t>
  </si>
  <si>
    <t>Joint IFIP Wireless and Mobile Networking Conference</t>
  </si>
  <si>
    <t>WOLLIC</t>
  </si>
  <si>
    <t>International Workshop on Logic, Language, Information and Computation</t>
  </si>
  <si>
    <t>XP</t>
  </si>
  <si>
    <t>International Conference on Agile Software Development</t>
  </si>
  <si>
    <t>AAIM</t>
  </si>
  <si>
    <t>International Conference on Algorithmic Aspects of Information and Management</t>
  </si>
  <si>
    <t>AC-HCI</t>
  </si>
  <si>
    <t>International Conference on Augmented Cognition</t>
  </si>
  <si>
    <t>ACRI</t>
  </si>
  <si>
    <t>International conference on Cellular Automata for Research and Industry</t>
  </si>
  <si>
    <t>AGERE</t>
  </si>
  <si>
    <t>Workshop on Programming based on Actors, Agents, and Decentralized Control</t>
  </si>
  <si>
    <t>AGILEGIS</t>
  </si>
  <si>
    <t>Conference on Geographic Information Science</t>
  </si>
  <si>
    <t>AICCSA</t>
  </si>
  <si>
    <t>ACS/IEEE International Conference on Computer Systems and Applications</t>
  </si>
  <si>
    <t>AICT</t>
  </si>
  <si>
    <t>International Conference on Application of Information and Communication Technologies</t>
  </si>
  <si>
    <t>AIML</t>
  </si>
  <si>
    <t>Advances in Modal Logic</t>
  </si>
  <si>
    <t>AMIA</t>
  </si>
  <si>
    <t>Annual Symposium of the American Medical Informatics Association</t>
  </si>
  <si>
    <t>ANNPR</t>
  </si>
  <si>
    <t>International IAPR TC3 Workshop on Artificial Neural Networks in Pattern Recognition</t>
  </si>
  <si>
    <t>ANTS</t>
  </si>
  <si>
    <t>ASYNC</t>
  </si>
  <si>
    <t>IEEE International Symposium on Asynchronous Circuits and Systems</t>
  </si>
  <si>
    <t>BCB</t>
  </si>
  <si>
    <t>ACM International Conference on Bioinformatics and Computational Biology and Health Informatics</t>
  </si>
  <si>
    <t>BEDS</t>
  </si>
  <si>
    <t>ACM International Conference on Distributed Event-Based Systems</t>
  </si>
  <si>
    <t>BIH</t>
  </si>
  <si>
    <t>International Conference on Brain Informatics and Health</t>
  </si>
  <si>
    <t>BIR</t>
  </si>
  <si>
    <t>International Conferences on Perspectives in Business Informatics Research</t>
  </si>
  <si>
    <t>BPMDS</t>
  </si>
  <si>
    <t>International Conference BPMDS/EMMSAD</t>
  </si>
  <si>
    <t>BRACIS</t>
  </si>
  <si>
    <t>Brazilian Conference on Intelligent System</t>
  </si>
  <si>
    <t>CANDAR</t>
  </si>
  <si>
    <t>International Symposium on Computing and Networking</t>
  </si>
  <si>
    <t>CC</t>
  </si>
  <si>
    <t>International Conference on Compiler Construction</t>
  </si>
  <si>
    <t>CCNC</t>
  </si>
  <si>
    <t>Annual IEEE Consumer Communications &amp; Networking Conference</t>
  </si>
  <si>
    <t>CGI</t>
  </si>
  <si>
    <t>Computer Graphics International Conference</t>
  </si>
  <si>
    <t>CIBCB</t>
  </si>
  <si>
    <t>IEEE Conference on Computational Intelligence in Bioinformatics and Computational Biology</t>
  </si>
  <si>
    <t>CISRC</t>
  </si>
  <si>
    <t>Cyber Security and Information Intelligence Research Workshop</t>
  </si>
  <si>
    <t>CITS</t>
  </si>
  <si>
    <t>International Conference on Computer, Information, and Telecommunication Systems</t>
  </si>
  <si>
    <t>CLEF</t>
  </si>
  <si>
    <t>Conference and Labs of the Evaluation Forum</t>
  </si>
  <si>
    <t>COCOA</t>
  </si>
  <si>
    <t>International Conference on Combinatorial Optimization and Applications</t>
  </si>
  <si>
    <t>COGSCI</t>
  </si>
  <si>
    <t>Annual Meeting of the Cognitive Science Society</t>
  </si>
  <si>
    <t>CompSysTech</t>
  </si>
  <si>
    <t>International Conference on Computer Systems and Technologies</t>
  </si>
  <si>
    <t>COSN</t>
  </si>
  <si>
    <t>Conference on Online Social Networks</t>
  </si>
  <si>
    <t>DAIS</t>
  </si>
  <si>
    <t>International Conference on Distributed Applications and Interoperable Systems</t>
  </si>
  <si>
    <t>DARS</t>
  </si>
  <si>
    <t>International Symposium on Distributed Autonomous Robotic Systems</t>
  </si>
  <si>
    <t>DCAI</t>
  </si>
  <si>
    <t>International Symposium on Distributed Computing and Artificial Intelligence</t>
  </si>
  <si>
    <t>DESE</t>
  </si>
  <si>
    <t>International Conference on Developments in eSystems Engineering</t>
  </si>
  <si>
    <t>DH</t>
  </si>
  <si>
    <t>Digital Heritage</t>
  </si>
  <si>
    <t>DHM</t>
  </si>
  <si>
    <t>International Conference on Digital Human Modeling - Applications in Health, Safety, Ergonomics and Risk Management</t>
  </si>
  <si>
    <t>DILS</t>
  </si>
  <si>
    <t>International Conference on Data Integration in Life Sciences</t>
  </si>
  <si>
    <t>DIVANET</t>
  </si>
  <si>
    <t>ACM Symposium on Development and Analysis of Intelligent Vehicular Networks and Applications</t>
  </si>
  <si>
    <t>DSAI</t>
  </si>
  <si>
    <t>International Conference on Software Development for Enhancing Accessibility and Fighting Info-exclusion</t>
  </si>
  <si>
    <t>DUXU</t>
  </si>
  <si>
    <t>International Conference on Design, User Experience, and Usability: Interactive Experience Design</t>
  </si>
  <si>
    <t>EAIS</t>
  </si>
  <si>
    <t>IEEE Conference on Evolving and Adaptive Intelligent Systems</t>
  </si>
  <si>
    <t>ECC</t>
  </si>
  <si>
    <t>European Control Conference</t>
  </si>
  <si>
    <t>ECCE</t>
  </si>
  <si>
    <t>European Conference on Cognitive Ergonomics</t>
  </si>
  <si>
    <t>EGOVIS</t>
  </si>
  <si>
    <t>International Conference on Electronic Government and the Information Systems Perspective</t>
  </si>
  <si>
    <t>ENASE</t>
  </si>
  <si>
    <t>International Conference on Evaluation of Novel Approaches to Software Engineering</t>
  </si>
  <si>
    <t>ENIC</t>
  </si>
  <si>
    <t>European Network Intelligence Conference</t>
  </si>
  <si>
    <t>ETFA</t>
  </si>
  <si>
    <t>IEEE International Conference on Emerging Technologies and Factory Automation</t>
  </si>
  <si>
    <t>EUC</t>
  </si>
  <si>
    <t>IEEE/IFIP International Conferences on Embedded and Ubiquitous Computing</t>
  </si>
  <si>
    <t>EUMAS</t>
  </si>
  <si>
    <t>European Conference on Multi-Agent Systems</t>
  </si>
  <si>
    <t>EUVIP</t>
  </si>
  <si>
    <t>European Workshop on Visual Information Processing</t>
  </si>
  <si>
    <t>EWSN</t>
  </si>
  <si>
    <t>European Conference on Wireless Sensor Networks</t>
  </si>
  <si>
    <t>FACS</t>
  </si>
  <si>
    <t>International Conference on Formal Aspects of Component Software</t>
  </si>
  <si>
    <t>FAW</t>
  </si>
  <si>
    <t>International Frontiers of Algorithmics Workshop</t>
  </si>
  <si>
    <t>FDL</t>
  </si>
  <si>
    <t>Forum on Specification and Design Languages</t>
  </si>
  <si>
    <t>FG</t>
  </si>
  <si>
    <t>Conference on Formal Grammar</t>
  </si>
  <si>
    <t>FORMATS</t>
  </si>
  <si>
    <t>International Conference on Formal Modeling and Analysis of Timed Systems</t>
  </si>
  <si>
    <t>FOSD</t>
  </si>
  <si>
    <t>International Workshop on Feature-Oriented Software Development</t>
  </si>
  <si>
    <t>GECON</t>
  </si>
  <si>
    <t>International Conference on Economics of Grids, Clouds, Systems and Services</t>
  </si>
  <si>
    <t>GIIS</t>
  </si>
  <si>
    <t>Global Information Infrastructure and Networking Symposium</t>
  </si>
  <si>
    <t>GPC</t>
  </si>
  <si>
    <t>International Conference on Grid And Pervasive Computing</t>
  </si>
  <si>
    <t>GPCE</t>
  </si>
  <si>
    <t>ACM International Conference on Generative Programming: Concepts and Experiences</t>
  </si>
  <si>
    <t>GREC</t>
  </si>
  <si>
    <t>International Workshop on Graphic Recognition: Current Trends and Challenges</t>
  </si>
  <si>
    <t>GreenCom</t>
  </si>
  <si>
    <t>IEEE International Conference on Green Computing and Communications</t>
  </si>
  <si>
    <t>GROUP</t>
  </si>
  <si>
    <t>International Conference on Supporting Group Work</t>
  </si>
  <si>
    <t>HCI</t>
  </si>
  <si>
    <t>International Conference on Human-Computer Interaction</t>
  </si>
  <si>
    <t>HEALTHCOM</t>
  </si>
  <si>
    <t>IEEE International Conference on E-health Networking, Application &amp; Services</t>
  </si>
  <si>
    <t>HIMI-HCI</t>
  </si>
  <si>
    <t>Human Interface and the Management of Information Thematic Area</t>
  </si>
  <si>
    <t>HIS</t>
  </si>
  <si>
    <t>International Conference on Hybrid Intelligent Systems</t>
  </si>
  <si>
    <t>HM</t>
  </si>
  <si>
    <t>International Workshop on Hybrid Metaheuristics</t>
  </si>
  <si>
    <t>IAS</t>
  </si>
  <si>
    <t>Industry Applications Society Annual Meeting</t>
  </si>
  <si>
    <t>IBERAMIA</t>
  </si>
  <si>
    <t>Ibero-American Conference on Artificial Intelligence</t>
  </si>
  <si>
    <t>IbPRIA</t>
  </si>
  <si>
    <t>Iberian Conference on Pattern Recognition and Image Analysis</t>
  </si>
  <si>
    <t>ICAT</t>
  </si>
  <si>
    <t>International Conference on Artificial Reality and Telexistence</t>
  </si>
  <si>
    <t>ICCE</t>
  </si>
  <si>
    <t>IEEE International Conference on Consumer Electronics</t>
  </si>
  <si>
    <t>ICCIC</t>
  </si>
  <si>
    <t>International Conference on Computational Intelligence and Computing Research</t>
  </si>
  <si>
    <t>ICCL2</t>
  </si>
  <si>
    <t>International Conference on Computational Logistics</t>
  </si>
  <si>
    <t>ICCPS</t>
  </si>
  <si>
    <t>International Conference on Cyber-Physical Systems</t>
  </si>
  <si>
    <t>ICDIM</t>
  </si>
  <si>
    <t>International Conference on Digital Information Management</t>
  </si>
  <si>
    <t>ICEGOV</t>
  </si>
  <si>
    <t>International Conference on Theory and Practice of Eletronic Governance</t>
  </si>
  <si>
    <t>ICEIS</t>
  </si>
  <si>
    <t>International Conference on Enterprise Information Systems</t>
  </si>
  <si>
    <t>ICGTT</t>
  </si>
  <si>
    <t>International Conference on Graph Transformation</t>
  </si>
  <si>
    <t>ICINCO</t>
  </si>
  <si>
    <t>International Conference on Informatics in Control, Automation and Robotics</t>
  </si>
  <si>
    <t>ICISO</t>
  </si>
  <si>
    <t>International Conference on Informatics and Semiotics in Organisations</t>
  </si>
  <si>
    <t>ICITS</t>
  </si>
  <si>
    <t>International Conference on Information Theoretic Security</t>
  </si>
  <si>
    <t>ICSR</t>
  </si>
  <si>
    <t>International Conference on Software Reuse</t>
  </si>
  <si>
    <t>ICTAC</t>
  </si>
  <si>
    <t>International Colloquium on Theoretical Aspects of Computing</t>
  </si>
  <si>
    <t>ICTIR</t>
  </si>
  <si>
    <t>Conference on the Theory of Information Retrieval</t>
  </si>
  <si>
    <t>ICTSS</t>
  </si>
  <si>
    <t>IFIP International Conference on Testing Software and Systems</t>
  </si>
  <si>
    <t>ICVR</t>
  </si>
  <si>
    <t>International Conference on Virtual Rehabilitation</t>
  </si>
  <si>
    <t>IDC</t>
  </si>
  <si>
    <t>International Symposium on Intelligent Distributed Computing</t>
  </si>
  <si>
    <t>IDEAL</t>
  </si>
  <si>
    <t>International Conference on Intelligent Data Engineering and Automated Learning</t>
  </si>
  <si>
    <t>IDEAS</t>
  </si>
  <si>
    <t>International Database Engineering and Applications Symposium</t>
  </si>
  <si>
    <t>IFM</t>
  </si>
  <si>
    <t>International Conference on Integrated Formal Methods</t>
  </si>
  <si>
    <t>IFSA</t>
  </si>
  <si>
    <t>World Congress of International Fuzzy Systems Association</t>
  </si>
  <si>
    <t>IGARSS</t>
  </si>
  <si>
    <t>IEEE International Geoscience and Remote Sensing Symposium</t>
  </si>
  <si>
    <t>IGIC</t>
  </si>
  <si>
    <t>IEEE International Games Innovation Conference</t>
  </si>
  <si>
    <t>IHC</t>
  </si>
  <si>
    <t>Simpósio Brasileiro sobre Fatores Humanos em Sistemas Computacionais</t>
  </si>
  <si>
    <t>IJCAR</t>
  </si>
  <si>
    <t>International Joint Conference on Automated Reasoning</t>
  </si>
  <si>
    <t>ILP</t>
  </si>
  <si>
    <t>International Conference on Inductive Logic Programming</t>
  </si>
  <si>
    <t>IMR</t>
  </si>
  <si>
    <t>International Meshing Roundtable and User Forum</t>
  </si>
  <si>
    <t>IPAW</t>
  </si>
  <si>
    <t>International Provenance and Annotation Workshop</t>
  </si>
  <si>
    <t>IPMU</t>
  </si>
  <si>
    <t>International Conference on Information Processing and Management of Uncertainty in Knowledge-Based Systems</t>
  </si>
  <si>
    <t>ISAmI</t>
  </si>
  <si>
    <t>International Symposium on Ambient Intelligence</t>
  </si>
  <si>
    <t>ISBI</t>
  </si>
  <si>
    <t>IEEE International Symposium on Biomedical Imaging</t>
  </si>
  <si>
    <t>ISGTEUROPE</t>
  </si>
  <si>
    <t>urope - IEEE International Conference on Innovative Smart Grid Technologies</t>
  </si>
  <si>
    <t>ISIC</t>
  </si>
  <si>
    <t>International Symposium on Integrated Circuits</t>
  </si>
  <si>
    <t>ISIE</t>
  </si>
  <si>
    <t>IEEE International Symposium on Industrial Electronics</t>
  </si>
  <si>
    <t>ISSPIT</t>
  </si>
  <si>
    <t>IEEE International Symposium on Signal Processing and Information Technology</t>
  </si>
  <si>
    <t>ISW</t>
  </si>
  <si>
    <t>Information Security Conference</t>
  </si>
  <si>
    <t>ITHET</t>
  </si>
  <si>
    <t>International Conference on Information Technology Based Higher Education and Training</t>
  </si>
  <si>
    <t>ITSC</t>
  </si>
  <si>
    <t>IEEE International Conference on Intelligent Transportation Systems</t>
  </si>
  <si>
    <t>IWBBIO</t>
  </si>
  <si>
    <t>International Work-Conference on Bioinformatics and Biomedical Engineering</t>
  </si>
  <si>
    <t>IWOCA</t>
  </si>
  <si>
    <t>International Workshop on Combinatorial Algorithms</t>
  </si>
  <si>
    <t>IWSM-MENSURA</t>
  </si>
  <si>
    <t>International Conference on Measurement and Data Analytics</t>
  </si>
  <si>
    <t>JCSSE</t>
  </si>
  <si>
    <t>International Joint Conference on Computer Science and Software Engineering</t>
  </si>
  <si>
    <t>JURIX</t>
  </si>
  <si>
    <t>International Conference on Legal Knowledge and Information Systems</t>
  </si>
  <si>
    <t>KESW</t>
  </si>
  <si>
    <t>International Conference on Knowledge Engineering and Semantic Web</t>
  </si>
  <si>
    <t>LANMAM</t>
  </si>
  <si>
    <t>IEEE International Symposium on Local and Metropolitan Area Networks</t>
  </si>
  <si>
    <t>LASCAS</t>
  </si>
  <si>
    <t>IEEE Latin American Symposium on Circuits and Systems</t>
  </si>
  <si>
    <t>LATINCOM</t>
  </si>
  <si>
    <t>IEEE  Latin-American Conference on Communications</t>
  </si>
  <si>
    <t>LATW</t>
  </si>
  <si>
    <t>Latin American Test Workshop</t>
  </si>
  <si>
    <t>LCTRTS</t>
  </si>
  <si>
    <t>ACM SIGPLAN/SIGBED Conference on Languages, Compilers, and Tools for Embedded Systems</t>
  </si>
  <si>
    <t>MATES</t>
  </si>
  <si>
    <t>German Conference on Multiagent System Technologies</t>
  </si>
  <si>
    <t>MCPR2</t>
  </si>
  <si>
    <t>Mexican Conference on Pattern Recognition</t>
  </si>
  <si>
    <t>MCS</t>
  </si>
  <si>
    <t>International Workshop on Multiple Classifier Systems Multiple Classifier Systems</t>
  </si>
  <si>
    <t>MDAI</t>
  </si>
  <si>
    <t>International Conference on Modeling Decisions for Artificial Intelligence</t>
  </si>
  <si>
    <t>MEDES</t>
  </si>
  <si>
    <t>International Conference on Management of Emergent Digital EcoSystems</t>
  </si>
  <si>
    <t>MOBILECLOUD</t>
  </si>
  <si>
    <t>International Conference on Mobile Cloud, Computing and Service Engineering</t>
  </si>
  <si>
    <t>MOBILESOFT</t>
  </si>
  <si>
    <t>International Conference on Mobile Software Engineering and Systems</t>
  </si>
  <si>
    <t>MOBIWAC</t>
  </si>
  <si>
    <t>ACM International Symposium on Mobility Management and Wireless Access</t>
  </si>
  <si>
    <t>MODELSWARD</t>
  </si>
  <si>
    <t>International Conference on Model-Driven Engineering and Software Development</t>
  </si>
  <si>
    <t>MS</t>
  </si>
  <si>
    <t>IEEE International Conference on Mobile Services</t>
  </si>
  <si>
    <t>MSN</t>
  </si>
  <si>
    <t>International Conference on Mobile Ad-Hoc and Sensor Networks</t>
  </si>
  <si>
    <t>MTSR</t>
  </si>
  <si>
    <t>International Conference on Metadata and Semantics Research</t>
  </si>
  <si>
    <t>NABIC</t>
  </si>
  <si>
    <t>World Congress on Nature and Biologically Inspired Computing</t>
  </si>
  <si>
    <t>NAFIPS</t>
  </si>
  <si>
    <t>Annual Conference of the North American Fuzzy Information Processing Society</t>
  </si>
  <si>
    <t>NEW2AN</t>
  </si>
  <si>
    <t>International Conference on Internet of Things, Smart Spaces, and Next Generation Networks and Systems</t>
  </si>
  <si>
    <t>NFV-SDN</t>
  </si>
  <si>
    <t>DN - IEEE Conference on Network Function Virtualization and Software Defined Networks</t>
  </si>
  <si>
    <t>NOF</t>
  </si>
  <si>
    <t>International Conference on Network of the Future</t>
  </si>
  <si>
    <t>OR</t>
  </si>
  <si>
    <t>International Conference on Operations Research</t>
  </si>
  <si>
    <t>OSS</t>
  </si>
  <si>
    <t>International Conference on Open Source Systems</t>
  </si>
  <si>
    <t>PDES</t>
  </si>
  <si>
    <t>IFAC International Conference on Programmable Devices and Embedded Systems</t>
  </si>
  <si>
    <t>PE-WASUN</t>
  </si>
  <si>
    <t>ASUM - ACM International Symposium on Performance Evaluation of Wireless Ad Hoc, Sensor, and Ubiquitous Networks</t>
  </si>
  <si>
    <t>PLOP</t>
  </si>
  <si>
    <t>Conference on Pattern Languages of Programs</t>
  </si>
  <si>
    <t>POST</t>
  </si>
  <si>
    <t>International Conference on Principles of Security and Trust</t>
  </si>
  <si>
    <t>PRIB</t>
  </si>
  <si>
    <t>IAPR International Conference on Pattern Recognition in Bioinformatics</t>
  </si>
  <si>
    <t>PRIMA</t>
  </si>
  <si>
    <t>nternational Conference on Principles and Practice of Multi-Agent Systems</t>
  </si>
  <si>
    <t>PROMISE</t>
  </si>
  <si>
    <t>International Conference on Predictive Models and Data Analytics in Software Engineering</t>
  </si>
  <si>
    <t>PSCC</t>
  </si>
  <si>
    <t>Power Systems Computation Conference</t>
  </si>
  <si>
    <t>Q2SWinet</t>
  </si>
  <si>
    <t>ACM Symposium on QoS and Security for Wireless and Mobile Networks</t>
  </si>
  <si>
    <t>QoSA</t>
  </si>
  <si>
    <t>International ACM Sigsoft Conference on the Quality of Software Architectures</t>
  </si>
  <si>
    <t>QUATIC</t>
  </si>
  <si>
    <t>International Conference on Quality of Information and Communications Technology</t>
  </si>
  <si>
    <t>RACS</t>
  </si>
  <si>
    <t>Conference on Research in Adaptive and Convergent Systems</t>
  </si>
  <si>
    <t>ROSE</t>
  </si>
  <si>
    <t>IEEE International Symposium on Robotic and Sensors Environments</t>
  </si>
  <si>
    <t>RSP</t>
  </si>
  <si>
    <t>IEEE International Symposium on Rapid System Prototyping</t>
  </si>
  <si>
    <t>RUSMART</t>
  </si>
  <si>
    <t>Conference on Internet of Things and Smart Spaces</t>
  </si>
  <si>
    <t>SBBD</t>
  </si>
  <si>
    <t>Simpósio Brasileiro de Banco de Dados</t>
  </si>
  <si>
    <t>SBCCI</t>
  </si>
  <si>
    <t>Symposium on Integrated Circuits and Systems Design</t>
  </si>
  <si>
    <t>SBES</t>
  </si>
  <si>
    <t>Brazilian Symposium on Software Engineering</t>
  </si>
  <si>
    <t>SBESC</t>
  </si>
  <si>
    <t>Brazilian Symposium on Computing System Engineering</t>
  </si>
  <si>
    <t>SBGAMES</t>
  </si>
  <si>
    <t>Simpósio Brasileiro de Jogos e Entretenimento Digital</t>
  </si>
  <si>
    <t>SBIA</t>
  </si>
  <si>
    <t>Brazilian Symposium on Artificial Intelligence</t>
  </si>
  <si>
    <t>SBRC</t>
  </si>
  <si>
    <t>Simpósio Brasileiro de Redes de Computadores e Sistemas Distribuídos</t>
  </si>
  <si>
    <t>SBSI</t>
  </si>
  <si>
    <t>Simpósio Brasileiro de Sistemas de Informação</t>
  </si>
  <si>
    <t>SCSM</t>
  </si>
  <si>
    <t>International Conference on Social Computing and Social Media</t>
  </si>
  <si>
    <t>SDL</t>
  </si>
  <si>
    <t>Symposium on Dynamic Languages</t>
  </si>
  <si>
    <t>SIGDOC</t>
  </si>
  <si>
    <t>ACM International Conference on Design of Communication</t>
  </si>
  <si>
    <t>SIMULTECH</t>
  </si>
  <si>
    <t>International Conference on Simulation and Modeling Methodologies, Technologies and Applications</t>
  </si>
  <si>
    <t>SISAP</t>
  </si>
  <si>
    <t>nternational Conference on Similarity Search and Applications</t>
  </si>
  <si>
    <t>SIYSTOR</t>
  </si>
  <si>
    <t>ACM International on Systems and Storage Conference</t>
  </si>
  <si>
    <t>SOCC</t>
  </si>
  <si>
    <t>IEEE International System-on-Chip Conference</t>
  </si>
  <si>
    <t>SPIN</t>
  </si>
  <si>
    <t>International SPIN symposium on Model Checking of Software</t>
  </si>
  <si>
    <t>SSPR</t>
  </si>
  <si>
    <t>International Workshop on Structural and Syntactic Pattern Recognition</t>
  </si>
  <si>
    <t>SVR</t>
  </si>
  <si>
    <t>Symposium on Virtual and Augmented Reality</t>
  </si>
  <si>
    <t>SYSTOL</t>
  </si>
  <si>
    <t>Conference on Control and Fault-Tolerant Systems</t>
  </si>
  <si>
    <t>TABLEAUX</t>
  </si>
  <si>
    <t>International Conference on Automated Reasoning with Analytic Tableaux and Related Methods</t>
  </si>
  <si>
    <t>TAP</t>
  </si>
  <si>
    <t>International Conference on Tests and Proofs</t>
  </si>
  <si>
    <t>TAROS</t>
  </si>
  <si>
    <t>Conference Towards Autonomous Robotics Systems</t>
  </si>
  <si>
    <t>UAHCI</t>
  </si>
  <si>
    <t>International Conference Universal Access in Human-Computer Interaction</t>
  </si>
  <si>
    <t>UCAMI</t>
  </si>
  <si>
    <t>International Conference on Ubiquitous Computing and Ambient Intelligence</t>
  </si>
  <si>
    <t>UIC</t>
  </si>
  <si>
    <t>IEEE International Conference on Ubiquitous Intelligence and Computing</t>
  </si>
  <si>
    <t>VAMR</t>
  </si>
  <si>
    <t>International Conference on Virtual, Augmented and Mixed Reality</t>
  </si>
  <si>
    <t>VECPAR</t>
  </si>
  <si>
    <t>International Meeting on High Performance Computing for Computational Science</t>
  </si>
  <si>
    <t>VMV</t>
  </si>
  <si>
    <t>Vision, Modeling &amp; Visualization</t>
  </si>
  <si>
    <t>VRST</t>
  </si>
  <si>
    <t>ACM Symposium on Virtual Reality Software and Technology</t>
  </si>
  <si>
    <t>W2GIS</t>
  </si>
  <si>
    <t>International Symposium Web and Wireless Geographical Information Systems</t>
  </si>
  <si>
    <t>WALCOM</t>
  </si>
  <si>
    <t>International Workshop on Algorithms and Computation</t>
  </si>
  <si>
    <t>WAOA</t>
  </si>
  <si>
    <t>Workshop on Approximation and Online Algorithms</t>
  </si>
  <si>
    <t>WEBIST</t>
  </si>
  <si>
    <t>International Conference on Web Information Systems and Technologies</t>
  </si>
  <si>
    <t>WEBMEDIA</t>
  </si>
  <si>
    <t>Brazilian Symposium on Multimedia and the Web</t>
  </si>
  <si>
    <t>WiSec</t>
  </si>
  <si>
    <t>ACM Conference on Security &amp; Privacy in Wireless and Mobile Networks</t>
  </si>
  <si>
    <t>WOCC</t>
  </si>
  <si>
    <t>Wireless and Optical Communications Conference</t>
  </si>
  <si>
    <t>WSKS</t>
  </si>
  <si>
    <t>World Summit on the Kowledge Society</t>
  </si>
  <si>
    <t>BDCLOUD</t>
  </si>
  <si>
    <t>International Conference on Big Data and Cloud Computing</t>
  </si>
  <si>
    <t>BIGMM</t>
  </si>
  <si>
    <t>IEEE International Conference on Multimedia Big Data</t>
  </si>
  <si>
    <t>BSB</t>
  </si>
  <si>
    <t>Brazilian Symposium on Bioinformatics</t>
  </si>
  <si>
    <t>CADGRAPHICS</t>
  </si>
  <si>
    <t>International Conference on Computer-Aided Design and Computer Graphics</t>
  </si>
  <si>
    <t>CALDAM</t>
  </si>
  <si>
    <t>International Conference on Algorithms and Discrete Applied Mathematics</t>
  </si>
  <si>
    <t>CASA</t>
  </si>
  <si>
    <t>Conference on Computer Animation and Social Agents</t>
  </si>
  <si>
    <t>CDVE</t>
  </si>
  <si>
    <t>International Conference on Cooperative Design, Visualization, and Engineering</t>
  </si>
  <si>
    <t>CEDEM</t>
  </si>
  <si>
    <t>International Conference for E-Democracy and Open Government</t>
  </si>
  <si>
    <t>CENTERIS</t>
  </si>
  <si>
    <t>Conference on ENTERprise Information Systems</t>
  </si>
  <si>
    <t>CICOMMS</t>
  </si>
  <si>
    <t>Symposium on Computational Intelligence for Communication Systems and Networks</t>
  </si>
  <si>
    <t>CICS</t>
  </si>
  <si>
    <t>Symposium on Computational Intelligence in Cyber Security</t>
  </si>
  <si>
    <t>CLEI</t>
  </si>
  <si>
    <t>Conferencia Latinoamericana de Informática</t>
  </si>
  <si>
    <t>COLOGNETWENTE</t>
  </si>
  <si>
    <t>Cologne-Twente Workshop on Graphs and Combinatorial Optimization</t>
  </si>
  <si>
    <t>COMPIMAGE</t>
  </si>
  <si>
    <t>International Symposium CompIMAGE</t>
  </si>
  <si>
    <t>CRIWG</t>
  </si>
  <si>
    <t>International Conference on Collaboration and Technology</t>
  </si>
  <si>
    <t>DEPCOS</t>
  </si>
  <si>
    <t>ELCOMEX - International Conference on Dependability and Complex Systems</t>
  </si>
  <si>
    <t>DMS</t>
  </si>
  <si>
    <t>International Conference on Distributed Multimedia Systems</t>
  </si>
  <si>
    <t>DS</t>
  </si>
  <si>
    <t>International Conference on Discovery Science</t>
  </si>
  <si>
    <t>DSAA</t>
  </si>
  <si>
    <t>IEEE International Conference on Data Science and Advanced Analytics</t>
  </si>
  <si>
    <t>EANN</t>
  </si>
  <si>
    <t>Internation Conference on Engineering Applications of Neural Networks</t>
  </si>
  <si>
    <t>EATIS</t>
  </si>
  <si>
    <t>Euro American Conference on Telematics and Information Systems</t>
  </si>
  <si>
    <t>ECWeb</t>
  </si>
  <si>
    <t>International Conference on Electronic Commerce and Web Technologies</t>
  </si>
  <si>
    <t>EDCC</t>
  </si>
  <si>
    <t>European Dependable Computing Conference</t>
  </si>
  <si>
    <t>EUROHAPTICS</t>
  </si>
  <si>
    <t>Eurohaptics</t>
  </si>
  <si>
    <t>EuroPloP</t>
  </si>
  <si>
    <t>European Conference on Pattern Languages of Programs</t>
  </si>
  <si>
    <t>EVA</t>
  </si>
  <si>
    <t>Electronic Visualisation and the Arts</t>
  </si>
  <si>
    <t>EXP.AT</t>
  </si>
  <si>
    <t>Experiment@ International Conference</t>
  </si>
  <si>
    <t>FOGA</t>
  </si>
  <si>
    <t>ACM Conference on Foundations of Genetic Algorithms</t>
  </si>
  <si>
    <t>FOIS</t>
  </si>
  <si>
    <t>International Conference on Formal Ontology in Information Systems</t>
  </si>
  <si>
    <t>GAMEON</t>
  </si>
  <si>
    <t>Annual Simulation and AI in Games Conference</t>
  </si>
  <si>
    <t>GEOINFO</t>
  </si>
  <si>
    <t>Brazilian Symposium on GeoInformatics</t>
  </si>
  <si>
    <t>HCIST</t>
  </si>
  <si>
    <t>International Conference on Health and Social Care Information Systems and Technologies</t>
  </si>
  <si>
    <t>HCSE</t>
  </si>
  <si>
    <t>International Working Conference on Human-Centred Software Engineering</t>
  </si>
  <si>
    <t>ICAIS</t>
  </si>
  <si>
    <t>International Conference on Adaptive and Intelligent Systems</t>
  </si>
  <si>
    <t>ICCEBerlin</t>
  </si>
  <si>
    <t>IEEE International Conference on Consumer Electronics Berlin</t>
  </si>
  <si>
    <t>ICIST</t>
  </si>
  <si>
    <t>International Conference on Information and Software Technologies</t>
  </si>
  <si>
    <t>ICIT</t>
  </si>
  <si>
    <t>IEEE International Conference on Industrial Technology</t>
  </si>
  <si>
    <t>ICLA</t>
  </si>
  <si>
    <t>Indian Conference on Logic and its Applications</t>
  </si>
  <si>
    <t>ICTON</t>
  </si>
  <si>
    <t>International Conference on Transparent Optical Networks</t>
  </si>
  <si>
    <t>ICUAS</t>
  </si>
  <si>
    <t>International Conference on Unmanned Aircraft Systems</t>
  </si>
  <si>
    <t>ICUMT</t>
  </si>
  <si>
    <t>International Conference on Ultra Modern Telecommunications</t>
  </si>
  <si>
    <t>IDCS</t>
  </si>
  <si>
    <t>International Conference on Internet and Distributed Computing Systems</t>
  </si>
  <si>
    <t>IEAAIE</t>
  </si>
  <si>
    <t>International Conference on Industrial Engineering &amp; Other Applications of Appled Intelligence Systems</t>
  </si>
  <si>
    <t>IEEENANO</t>
  </si>
  <si>
    <t>International Conference on Nanotechnology</t>
  </si>
  <si>
    <t>IESS</t>
  </si>
  <si>
    <t>IFIP International Embedded Systems Symposium</t>
  </si>
  <si>
    <t>IFUZZY</t>
  </si>
  <si>
    <t>International Conference on Fuzzy Theory and its Applications</t>
  </si>
  <si>
    <t>IHM</t>
  </si>
  <si>
    <t>Conférence Francophone sur l’Interaction Homme-Machine</t>
  </si>
  <si>
    <t>IIR</t>
  </si>
  <si>
    <t>Italian Information Retrieval Workshop</t>
  </si>
  <si>
    <t>IJCCI</t>
  </si>
  <si>
    <t>International Joint Conference on Computational Intelligence</t>
  </si>
  <si>
    <t>IMS3TW</t>
  </si>
  <si>
    <t>Annual International Mixed-Signals, Sensors and Systems Test Workshop</t>
  </si>
  <si>
    <t>INTECH</t>
  </si>
  <si>
    <t>International Conference on Innovative Computing Technology</t>
  </si>
  <si>
    <t>IRMMW</t>
  </si>
  <si>
    <t>International Conference on Infrared, Millimeter, and Terahertz Waves</t>
  </si>
  <si>
    <t>ISBRA</t>
  </si>
  <si>
    <t>International Symposium on Bioinformatics Research and Applications</t>
  </si>
  <si>
    <t>ISC2</t>
  </si>
  <si>
    <t>IEEE International Smart Cities Conference</t>
  </si>
  <si>
    <t>ISCE</t>
  </si>
  <si>
    <t>IEEE International Symposium on Consumer Electronics</t>
  </si>
  <si>
    <t>ISCOPT</t>
  </si>
  <si>
    <t>International Symposium on Combinatorial Optimization</t>
  </si>
  <si>
    <t>ISDEVEL</t>
  </si>
  <si>
    <t>International Conference on Information Systems Development</t>
  </si>
  <si>
    <t>ISER</t>
  </si>
  <si>
    <t>International Symposium on Experimental Robotics</t>
  </si>
  <si>
    <t>ISSI</t>
  </si>
  <si>
    <t>International Society of Scientometrics and Informetrics Conference</t>
  </si>
  <si>
    <t>ISTAR</t>
  </si>
  <si>
    <t>International  i*Workshop</t>
  </si>
  <si>
    <t>IWBF</t>
  </si>
  <si>
    <t>International Workshop on Biometrics and Forensics</t>
  </si>
  <si>
    <t>IWEI</t>
  </si>
  <si>
    <t>International IFIP Working Conference on Enterprise Interoperability</t>
  </si>
  <si>
    <t>IWT</t>
  </si>
  <si>
    <t>International Workshop on Telecommunications</t>
  </si>
  <si>
    <t>KMO</t>
  </si>
  <si>
    <t>International Conference on Knowledge Management in Organizations</t>
  </si>
  <si>
    <t>LACLO</t>
  </si>
  <si>
    <t>Latin American Conference on Learning Objects and Technologies</t>
  </si>
  <si>
    <t>LADC</t>
  </si>
  <si>
    <t>Latin-American Symposium on Dependable Computing</t>
  </si>
  <si>
    <t>LAGOS</t>
  </si>
  <si>
    <t>Latin-American Algorithms, Graphs and Optimization Symposium</t>
  </si>
  <si>
    <t>LANC</t>
  </si>
  <si>
    <t>Latin American Networking Conference</t>
  </si>
  <si>
    <t>LANOMS</t>
  </si>
  <si>
    <t>Latin-American Network Operations and Management Symposium</t>
  </si>
  <si>
    <t>LARS</t>
  </si>
  <si>
    <t>IEEE Latin American Robotics Symposium</t>
  </si>
  <si>
    <t>LATINCRYPT</t>
  </si>
  <si>
    <t>International Conference on Cryptology and Information Security in Latin America</t>
  </si>
  <si>
    <t>LAW</t>
  </si>
  <si>
    <t>Linguistic Annotation Workshop</t>
  </si>
  <si>
    <t>LA-WEB</t>
  </si>
  <si>
    <t>EB - Latin American Web Congress</t>
  </si>
  <si>
    <t>LightSec</t>
  </si>
  <si>
    <t>International Workshop on Lightweight Cryptography for Security &amp; Privacy</t>
  </si>
  <si>
    <t>LSFA</t>
  </si>
  <si>
    <t>Workshop on Logical and Semantic Frameworks, with Applications</t>
  </si>
  <si>
    <t>MED</t>
  </si>
  <si>
    <t>Mediterranean Conference on Control and Automation</t>
  </si>
  <si>
    <t>MEMEA</t>
  </si>
  <si>
    <t>IEEE International Symposium on Medical Measurements and Applications</t>
  </si>
  <si>
    <t>MOBILWARE</t>
  </si>
  <si>
    <t>International Conference on MOBILe Wireless MiddleWARE, Operating Systems, and Applications</t>
  </si>
  <si>
    <t>NETWORKS</t>
  </si>
  <si>
    <t>International Telecommunications Network Strategy and Planning Symposium</t>
  </si>
  <si>
    <t>ONTOBRAS</t>
  </si>
  <si>
    <t>Brazilian Seminar on Ontologies</t>
  </si>
  <si>
    <t>PATMOS</t>
  </si>
  <si>
    <t>International Workshop on Power and Timing Modeling, Optimization and Simulation</t>
  </si>
  <si>
    <t>PGM</t>
  </si>
  <si>
    <t>International Conference on Probabilistic Graphical Models</t>
  </si>
  <si>
    <t>PROPOR</t>
  </si>
  <si>
    <t>International Conference on Computational Processing of the Portuguese Language</t>
  </si>
  <si>
    <t>QRS</t>
  </si>
  <si>
    <t>IEEE International Conference on Software Quality, Reliability and Security</t>
  </si>
  <si>
    <t>RADECS</t>
  </si>
  <si>
    <t>European Conference on Radiation Effects on Components and Systems</t>
  </si>
  <si>
    <t>SAICC</t>
  </si>
  <si>
    <t>Science and Information Conference</t>
  </si>
  <si>
    <t>SAM</t>
  </si>
  <si>
    <t>Sensor Array and Multichannel Signal Processing Workshop</t>
  </si>
  <si>
    <t>SBCARS</t>
  </si>
  <si>
    <t>Brazilian Symposium on Components, Architectures and Reuse Software</t>
  </si>
  <si>
    <t>SBCM</t>
  </si>
  <si>
    <t>Simpósio Brasileiro de Computação Musical</t>
  </si>
  <si>
    <t>SBLP</t>
  </si>
  <si>
    <t>Brazilian Symposium on Programming Languages</t>
  </si>
  <si>
    <t>SBMF</t>
  </si>
  <si>
    <t>Brazilian Symposium on Formal Methods</t>
  </si>
  <si>
    <t>SBQS</t>
  </si>
  <si>
    <t>Simpósio Brasileiro de Qualidade de Software</t>
  </si>
  <si>
    <t>SBSC</t>
  </si>
  <si>
    <t>Simpósio Brasileiro de Sistemas Colaborativos</t>
  </si>
  <si>
    <t>SBSeg</t>
  </si>
  <si>
    <t>Simpósio Brasileiro em Segurança da Informação e de Sistemas Computacionais</t>
  </si>
  <si>
    <t>SCCC</t>
  </si>
  <si>
    <t>International Conference of the Chilean Computer Science Society</t>
  </si>
  <si>
    <t>SEGAH</t>
  </si>
  <si>
    <t>International Conference on Serious Games and Applications for Health</t>
  </si>
  <si>
    <t>SENSORNETS</t>
  </si>
  <si>
    <t>International Conference on Sensor Networks</t>
  </si>
  <si>
    <t>SENSORS</t>
  </si>
  <si>
    <t>IEEE Sensors</t>
  </si>
  <si>
    <t>SIIE</t>
  </si>
  <si>
    <t>Simpósio Internacional de Informática Educatica</t>
  </si>
  <si>
    <t>SMARTGREENS</t>
  </si>
  <si>
    <t>International Conference on Smart Grids and Green ICT Systems</t>
  </si>
  <si>
    <t>SOC</t>
  </si>
  <si>
    <t>International Symposium on System-on-Chip</t>
  </si>
  <si>
    <t>SPA</t>
  </si>
  <si>
    <t>Signal Processing: Algorithms, Architectures, Arrangements, and Applications Conference</t>
  </si>
  <si>
    <t>SPACE</t>
  </si>
  <si>
    <t>International Conference on Security, Privacy, and Applied Cryptography Engineering</t>
  </si>
  <si>
    <t>SSIAI</t>
  </si>
  <si>
    <t>Southwest Symposium on Image Analysis and Interpretation</t>
  </si>
  <si>
    <t>STAG</t>
  </si>
  <si>
    <t>Eurographics Italian Chapter Conference</t>
  </si>
  <si>
    <t>STIL</t>
  </si>
  <si>
    <t>Brazilian Symposium in Information and Human Language Technology</t>
  </si>
  <si>
    <t>SustainIT</t>
  </si>
  <si>
    <t>Conference on Sustainable Internet and ICT for Sustainability</t>
  </si>
  <si>
    <t>SWQD</t>
  </si>
  <si>
    <t>Conference Software Quality Days</t>
  </si>
  <si>
    <t>T&amp;D</t>
  </si>
  <si>
    <t>IEEE/PES Transmission and Distribution Conference and Exposition</t>
  </si>
  <si>
    <t>TLCA</t>
  </si>
  <si>
    <t>International Conference on Typed Lambda Calculi and Applications</t>
  </si>
  <si>
    <t>TVX</t>
  </si>
  <si>
    <t>International Conference on Interactive Experiences for Television and Online Video</t>
  </si>
  <si>
    <t>VNS</t>
  </si>
  <si>
    <t>International Conference on Variable Neighborhood Search</t>
  </si>
  <si>
    <t>WCCI</t>
  </si>
  <si>
    <t>IEEE World Congress on Computational Intelligence</t>
  </si>
  <si>
    <t>WEI</t>
  </si>
  <si>
    <t>Workshop sobre Educação em Computação</t>
  </si>
  <si>
    <t>WF-IoT</t>
  </si>
  <si>
    <t>oT - IEEE World Forum on Internet of Things</t>
  </si>
  <si>
    <t>WIE</t>
  </si>
  <si>
    <t>Workshop de Informática na Escola</t>
  </si>
  <si>
    <t>WPerformance</t>
  </si>
  <si>
    <t>Workshop em Desempenho de Sistemas Computacionais e de Comunicação</t>
  </si>
  <si>
    <t>WRLA</t>
  </si>
  <si>
    <t>International Workshop on Rewriting Logic and its Applications</t>
  </si>
  <si>
    <t>WSCAD</t>
  </si>
  <si>
    <t>Simpósio em Sistemas Computacionais de Alto Desempenho</t>
  </si>
  <si>
    <t>WSCG</t>
  </si>
  <si>
    <t>International Conference in Central Europe on Computer Graphics and Visualization and Computer Vision</t>
  </si>
  <si>
    <t>WUWNET</t>
  </si>
  <si>
    <t>International Conference on UnderWater Networks and Systems</t>
  </si>
  <si>
    <t>21CW</t>
  </si>
  <si>
    <t>IEEE Conference on Norbert Wiener in the 21st Century</t>
  </si>
  <si>
    <t>3DCVE</t>
  </si>
  <si>
    <t>International Workshop on Collaborative Virtual Environments</t>
  </si>
  <si>
    <t>3DOR</t>
  </si>
  <si>
    <t>Eurographics Workshop on 3D Object Retrieval</t>
  </si>
  <si>
    <t>AAAI W</t>
  </si>
  <si>
    <t>Workshop on Symbiotic Cognitive Systems</t>
  </si>
  <si>
    <t>AINAW</t>
  </si>
  <si>
    <t>IEEE International Conference on Advanced Information Networking and Applications Workshops</t>
  </si>
  <si>
    <t>AISEC</t>
  </si>
  <si>
    <t>ACM Workshop on Artificial Intelligence and Security</t>
  </si>
  <si>
    <t>APCASE</t>
  </si>
  <si>
    <t>Asia-Pacific Conference on Computer Aided System Engineering</t>
  </si>
  <si>
    <t>APDCM</t>
  </si>
  <si>
    <t>Workshop on Advances in Parallel and Distributed Computational Models</t>
  </si>
  <si>
    <t>ARMS-CC</t>
  </si>
  <si>
    <t>C - International Workshop on Adaptive Resource Management and Scheduling for Cloud Computing</t>
  </si>
  <si>
    <t>A-TEST</t>
  </si>
  <si>
    <t>EST - International Workshop on Automating Test Case Design, Selection and Evaluation</t>
  </si>
  <si>
    <t>ATT</t>
  </si>
  <si>
    <t>International Workshop on Agents in Traffic and Transportation</t>
  </si>
  <si>
    <t>BAI</t>
  </si>
  <si>
    <t>Workshop on Advances in Bioinformatics and Artificial Intelligence: bridging the Gaps</t>
  </si>
  <si>
    <t>BeyondMR</t>
  </si>
  <si>
    <t>Workshop on Algorithms and Systems for MapReduce and Beyond</t>
  </si>
  <si>
    <t>BIGDSE</t>
  </si>
  <si>
    <t>IEEE/ACM International Workshop on Big Data Software Engineering</t>
  </si>
  <si>
    <t>BigSpatial</t>
  </si>
  <si>
    <t>ACM SIGSPATIAL International Workshop on Analytics for Big Geospatial Data</t>
  </si>
  <si>
    <t>BIOKDD</t>
  </si>
  <si>
    <t>International Workshop on Biological Knowledge Discovery and Data Mining</t>
  </si>
  <si>
    <t>BMAW</t>
  </si>
  <si>
    <t>Bayesian Modeling Applications Workshop</t>
  </si>
  <si>
    <t>BPMS2</t>
  </si>
  <si>
    <t>Workshop on Social and Human Aspects of Business Process Management</t>
  </si>
  <si>
    <t>BRC</t>
  </si>
  <si>
    <t>ISSNIP Biosignals and Biorobotics Conference</t>
  </si>
  <si>
    <t>BRESCI</t>
  </si>
  <si>
    <t>Brazilian e-Science Workshop</t>
  </si>
  <si>
    <t>BWILD</t>
  </si>
  <si>
    <t>International Workshop on Biometrics in the Wild</t>
  </si>
  <si>
    <t>CARLA</t>
  </si>
  <si>
    <t>Latin American High-Performance Computing Conference</t>
  </si>
  <si>
    <t>CBSF</t>
  </si>
  <si>
    <t>Congresso Brasileiro de Sistemas Fuzzy</t>
  </si>
  <si>
    <t>CIMSIVP</t>
  </si>
  <si>
    <t>IEEE Symposium on Computational Intelligence for Multimedia, Signal and Vision Processing</t>
  </si>
  <si>
    <t>CIT/IUCC/DASC/PICOM</t>
  </si>
  <si>
    <t>CIT, IUCC, DASC, PICOM</t>
  </si>
  <si>
    <t>CIVTS</t>
  </si>
  <si>
    <t>IEEE Symposium on Computational Intelligence in Vehicles and Transportation Systems</t>
  </si>
  <si>
    <t>CL4LC</t>
  </si>
  <si>
    <t>Workshop on Computational Linguistics for Linguistic Complexity</t>
  </si>
  <si>
    <t>CLIHC</t>
  </si>
  <si>
    <t>Latin American Conference on Human Computer Interaction</t>
  </si>
  <si>
    <t>CLOUDTECH</t>
  </si>
  <si>
    <t>International Conference on Cloud Computing Technologies and Applications</t>
  </si>
  <si>
    <t>COGNISE</t>
  </si>
  <si>
    <t>International Workshop on Cognitive Aspects of Information Systems Engineering</t>
  </si>
  <si>
    <t>COIN</t>
  </si>
  <si>
    <t>International Workshop on Coordination, Organisations, Institutions and Norms</t>
  </si>
  <si>
    <t>CONFIRM</t>
  </si>
  <si>
    <t>International Conference on Information Resources Management</t>
  </si>
  <si>
    <t>CONTECSI</t>
  </si>
  <si>
    <t>International Conference on Information Systems and Technology Management</t>
  </si>
  <si>
    <t>CORAL</t>
  </si>
  <si>
    <t>International Workshop on Emerging COgnitive Radio Applications and aLgorithms</t>
  </si>
  <si>
    <t>COTB</t>
  </si>
  <si>
    <t>Computer on The Beach</t>
  </si>
  <si>
    <t>CSC</t>
  </si>
  <si>
    <t>SIAM Workshop on Combinatorial Scientific Computing</t>
  </si>
  <si>
    <t>CSI-SE</t>
  </si>
  <si>
    <t>E - International Workshop on Crowdsourcing in Software Engineering</t>
  </si>
  <si>
    <t>CVPRW</t>
  </si>
  <si>
    <t>IEEE Conference on Computer Vision and Pattern Recognition Workshops</t>
  </si>
  <si>
    <t>DaMNet</t>
  </si>
  <si>
    <t>Workshop on Data Mining in Networks</t>
  </si>
  <si>
    <t>DCCW</t>
  </si>
  <si>
    <t>ACM Workshop on Distributed Cloud Computing</t>
  </si>
  <si>
    <t>DeMiMoP</t>
  </si>
  <si>
    <t>Workshop on Decision Mining &amp; Modeling for Business Processes</t>
  </si>
  <si>
    <t>DESWEB</t>
  </si>
  <si>
    <t>International Workshop on Data Engineering meets the Semantic Web</t>
  </si>
  <si>
    <t>DISN</t>
  </si>
  <si>
    <t>Workshop on Dependability Issues on SDN and NFV</t>
  </si>
  <si>
    <t>DMNPL</t>
  </si>
  <si>
    <t>Workshop on Interactions between Data Mining and Natural Language Processing</t>
  </si>
  <si>
    <t>DroNet</t>
  </si>
  <si>
    <t>Workshop on Micro Aerial Vehicle Networks, Systems, and Applications for Civilian Use</t>
  </si>
  <si>
    <t>DSNW</t>
  </si>
  <si>
    <t>IEEE International Conference on Dependable Systems and Networks Workshops</t>
  </si>
  <si>
    <t>DYNAK</t>
  </si>
  <si>
    <t>International Workshop on Dynamic Networks and Knowledge Discovery</t>
  </si>
  <si>
    <t>ECSAW</t>
  </si>
  <si>
    <t>European Conference on Software Architecture Workshops</t>
  </si>
  <si>
    <t>EMAS</t>
  </si>
  <si>
    <t>International Workshop on Engineering Multiagent Systems</t>
  </si>
  <si>
    <t>ENIAC</t>
  </si>
  <si>
    <t>Encontro Nacional de Inteligencia Artificial e Computacional</t>
  </si>
  <si>
    <t>ERLANG</t>
  </si>
  <si>
    <t>ACM SIGPLAN Erlang Workshop</t>
  </si>
  <si>
    <t>ESELAW</t>
  </si>
  <si>
    <t>Workshop Latinoamericano de Ingeniería de Software Experimental</t>
  </si>
  <si>
    <t>EURO</t>
  </si>
  <si>
    <t>European Conference on Operational Research</t>
  </si>
  <si>
    <t>EuroParW</t>
  </si>
  <si>
    <t>Parallel Processing Workshops</t>
  </si>
  <si>
    <t>EUROPKI</t>
  </si>
  <si>
    <t>European Public Key Infrastructure Workshop</t>
  </si>
  <si>
    <t>EVLBP</t>
  </si>
  <si>
    <t>P - International Workshop on Evolutionary Business Processes</t>
  </si>
  <si>
    <t>EXAMPI</t>
  </si>
  <si>
    <t>Workshop on Exascale MPI</t>
  </si>
  <si>
    <t>FCTA</t>
  </si>
  <si>
    <t>International Conference on Fuzzy Computation Theory and Applications</t>
  </si>
  <si>
    <t>FLinAI</t>
  </si>
  <si>
    <t>Workshop on Fuzzy Logic in AI</t>
  </si>
  <si>
    <t>FOCI</t>
  </si>
  <si>
    <t>IEEE Symposium on Foundations of Computational Intelligence</t>
  </si>
  <si>
    <t>FOFAI</t>
  </si>
  <si>
    <t>International Workshop on Formal Ontologies for Artificial Intelligence</t>
  </si>
  <si>
    <t>FSEW</t>
  </si>
  <si>
    <t>Workhops of the SIGSOFT FSE International Symposium on Foundations of Software Engineering</t>
  </si>
  <si>
    <t>FTXS</t>
  </si>
  <si>
    <t>Workshop on Fault Tolerance for HPC at eXtreme Scale</t>
  </si>
  <si>
    <t>GAS</t>
  </si>
  <si>
    <t>International Workshop on Games and Software Engineering</t>
  </si>
  <si>
    <t>GCCE</t>
  </si>
  <si>
    <t>IEEE Global Conference on Consumer Electronics</t>
  </si>
  <si>
    <t>GeoPrivacy</t>
  </si>
  <si>
    <t>Workshop on Privacy in Geographic Information Collection and Analysis</t>
  </si>
  <si>
    <t>GraphQ</t>
  </si>
  <si>
    <t>International Workshop on Querying Graph Structured Data (EDBT)</t>
  </si>
  <si>
    <t>GREENS</t>
  </si>
  <si>
    <t>International Workshop on Green and Sustainable Software</t>
  </si>
  <si>
    <t>GTVMT</t>
  </si>
  <si>
    <t>MT - International Workshop on Graph Transformation and Visual Modeling Techniques</t>
  </si>
  <si>
    <t>HAI</t>
  </si>
  <si>
    <t>International Workshop on Human Aspects in Ambient Intelligence</t>
  </si>
  <si>
    <t>HCI3P</t>
  </si>
  <si>
    <t>Workshop on Human Computer Interaction in Third Places</t>
  </si>
  <si>
    <t>HPCB</t>
  </si>
  <si>
    <t>International Workshop on High Performance Computing on Bioinformatics</t>
  </si>
  <si>
    <t>HR</t>
  </si>
  <si>
    <t>Workshop on Hybrid Reasoning</t>
  </si>
  <si>
    <t>IC3K</t>
  </si>
  <si>
    <t>International Joint Conference on Knowledge Discovery, Knowledge Engineering and Knowledge Management</t>
  </si>
  <si>
    <t>ICCCC</t>
  </si>
  <si>
    <t>International Conference on Computers Communications and Control</t>
  </si>
  <si>
    <t>ICCVE</t>
  </si>
  <si>
    <t>International Conference on Connected Vehicles &amp; Exp</t>
  </si>
  <si>
    <t>ICCW</t>
  </si>
  <si>
    <t>IEEE International Conference on Communications Workshops</t>
  </si>
  <si>
    <t>ICDEW</t>
  </si>
  <si>
    <t>International Workshop on Keyword Search and Data Exploration on Structured Data</t>
  </si>
  <si>
    <t>ICERI</t>
  </si>
  <si>
    <t>International Conference of Education, Research and Innovation</t>
  </si>
  <si>
    <t>ICGSEW</t>
  </si>
  <si>
    <t>IEEE International Conference on Global Software Engineering Wokshops</t>
  </si>
  <si>
    <t>ICHQP</t>
  </si>
  <si>
    <t>IEEE International Conference on Harmonics and Power Quality</t>
  </si>
  <si>
    <t>ICORES</t>
  </si>
  <si>
    <t>International Conference on Operations Research and Enterprise Systems</t>
  </si>
  <si>
    <t>ICSEW</t>
  </si>
  <si>
    <t>International Conference on Software Engineering Workshops</t>
  </si>
  <si>
    <t>IEEEIA</t>
  </si>
  <si>
    <t>IEEE Symposium on Intelligent Agents</t>
  </si>
  <si>
    <t>IMOC</t>
  </si>
  <si>
    <t>SBMO/IEEE MTT-S International Microwave and Optoelectronics Conference</t>
  </si>
  <si>
    <t>INDUSCON</t>
  </si>
  <si>
    <t>International Conference on Industry Applications</t>
  </si>
  <si>
    <t>INFOCOMW</t>
  </si>
  <si>
    <t>IEEE Workshop on Communication &amp; Networking Techniques for Contemporary Video</t>
  </si>
  <si>
    <t>IoTAAL</t>
  </si>
  <si>
    <t>Workshop on Internet of Things for Ambient Assisted Living</t>
  </si>
  <si>
    <t>IPDPSW</t>
  </si>
  <si>
    <t>IEEE International Parallel &amp; Distributed Processing Symposium Workshops</t>
  </si>
  <si>
    <t>ISAP</t>
  </si>
  <si>
    <t>International Conference on Intelligent System Applications to Power Systems</t>
  </si>
  <si>
    <t>ISCRAM</t>
  </si>
  <si>
    <t>International Conference on Information Systems for Crisis Response and Management</t>
  </si>
  <si>
    <t>ISEOLE</t>
  </si>
  <si>
    <t>International Workshop on Intelligent Support in Exploratory and Open-Ended Learning Environments</t>
  </si>
  <si>
    <t>ISSREW</t>
  </si>
  <si>
    <t>IEEE International Symposium on Software Reliability Engineering Workshops</t>
  </si>
  <si>
    <t>ISWCW</t>
  </si>
  <si>
    <t>Intenational Workshop on Intelligent Exploration of Semantic Data</t>
  </si>
  <si>
    <t>ITA</t>
  </si>
  <si>
    <t>International Conference on Internet Technologies and Applications</t>
  </si>
  <si>
    <t>IWPSE</t>
  </si>
  <si>
    <t>International Workshop on Principles of Software Evolution</t>
  </si>
  <si>
    <t>IWSC</t>
  </si>
  <si>
    <t>International Workshop on Smart Cities: People, Technology and Data</t>
  </si>
  <si>
    <t>IWSECO</t>
  </si>
  <si>
    <t>International Workshop on Software Ecosystems</t>
  </si>
  <si>
    <t>KnowLOD</t>
  </si>
  <si>
    <t>Workshop on Knowledge Discovery and Data Mining Meets Linked Open Data</t>
  </si>
  <si>
    <t>KSBT</t>
  </si>
  <si>
    <t>Workshop on Knowledge, Skill, and Behavior Transfer in Autonomous Robots</t>
  </si>
  <si>
    <t>LA-CCI</t>
  </si>
  <si>
    <t>CI - Latin American Conference on Computational Intelligence</t>
  </si>
  <si>
    <t>LANCOMM</t>
  </si>
  <si>
    <t>ACM SIGCOMM Workshop on Fostering Latin-American Research in Data Communication Networks</t>
  </si>
  <si>
    <t>LCDNET</t>
  </si>
  <si>
    <t>Workshop on Lowest Cost Denominator Networking for Universal Access</t>
  </si>
  <si>
    <t>M4IOT</t>
  </si>
  <si>
    <t>Workshop on Middleware for Context-Aware Applications in the IoT</t>
  </si>
  <si>
    <t>MABS</t>
  </si>
  <si>
    <t>International Workshop on Multi-Agent Based Simulation</t>
  </si>
  <si>
    <t>MANSDNNFV</t>
  </si>
  <si>
    <t>International Workshop on Management of SDN and NFV Systems</t>
  </si>
  <si>
    <t>MARMI</t>
  </si>
  <si>
    <t>International Workshop on Multimedia Analysis and Retrieval for Multimodal Interaction</t>
  </si>
  <si>
    <t>MASS</t>
  </si>
  <si>
    <t>Mobility Analytics from Spatial and Social Data</t>
  </si>
  <si>
    <t>MDMW</t>
  </si>
  <si>
    <t>IEEE International Conference on Mobile Data Management Workshops</t>
  </si>
  <si>
    <t>MetaSel</t>
  </si>
  <si>
    <t>International Workshop on  Meta-Learning and Algorithm Selection</t>
  </si>
  <si>
    <t>MISE</t>
  </si>
  <si>
    <t>Workshop on Modeling in Software Engineering</t>
  </si>
  <si>
    <t>MobiArch</t>
  </si>
  <si>
    <t>Workshop on Mobility in the Evolving Internet Architecture</t>
  </si>
  <si>
    <t>MOBILEHCIW</t>
  </si>
  <si>
    <t>International Conference on Human-Computer Interaction with Mobile Devices and Services Workshops</t>
  </si>
  <si>
    <t>MOCRYSEN</t>
  </si>
  <si>
    <t>International Workshop on Modern Cryptography and Security Engineering</t>
  </si>
  <si>
    <t>MODULARITYW</t>
  </si>
  <si>
    <t>International Conference on Modularity Workshops</t>
  </si>
  <si>
    <t>MPPU</t>
  </si>
  <si>
    <t>Models and Paradigms for Planning under Uncertainty: a Broad Perspective Workshop</t>
  </si>
  <si>
    <t>MTD</t>
  </si>
  <si>
    <t>International Workshop on Managing Technical Debt</t>
  </si>
  <si>
    <t>MUCS</t>
  </si>
  <si>
    <t>IEEE Workshop on Managing Ubiquitous Communications and Services</t>
  </si>
  <si>
    <t>MULTIPROG</t>
  </si>
  <si>
    <t>Workshop on Programmability Issues for Heterogeneous Multicore</t>
  </si>
  <si>
    <t>MWAIL</t>
  </si>
  <si>
    <t>ICAIL Multi-Lingual Workshop on AI &amp; Law</t>
  </si>
  <si>
    <t>MWE</t>
  </si>
  <si>
    <t>Workshop on Multiword Expressions</t>
  </si>
  <si>
    <t>NESY@HLAI</t>
  </si>
  <si>
    <t>Workshop on Neural-Symbolic Learning and Reasoning</t>
  </si>
  <si>
    <t>NEWSIR</t>
  </si>
  <si>
    <t>International Workshop on Recent Trends in News Information Retrieval</t>
  </si>
  <si>
    <t>NFmcp</t>
  </si>
  <si>
    <t>International Workshop on New Frontiers in Mining Complex Patterns</t>
  </si>
  <si>
    <t>NIDISC</t>
  </si>
  <si>
    <t>International Workshop on Nature Inspired Distributed Computing</t>
  </si>
  <si>
    <t>PerCol</t>
  </si>
  <si>
    <t>International Workshop on Pervasive Collaboration and Social Networking</t>
  </si>
  <si>
    <t>PerComW</t>
  </si>
  <si>
    <t>IEEE International Conference on Pervasive Computing and Communication Workshops</t>
  </si>
  <si>
    <t>PESOS</t>
  </si>
  <si>
    <t>International Workshop on Principles of Engineering Service-Oriented and Cloud Systems</t>
  </si>
  <si>
    <t>PLATEAU</t>
  </si>
  <si>
    <t>Workshop on Evaluation and Usability of Programming Languages and Tools</t>
  </si>
  <si>
    <t>PPNIV</t>
  </si>
  <si>
    <t>Workshop on Planning, Perception and Navigation for Intelligent Vehicles</t>
  </si>
  <si>
    <t>RAHA</t>
  </si>
  <si>
    <t>IEEE Internacional Conference on Robotics and Automation for Humanitarian Applications</t>
  </si>
  <si>
    <t>RELAW</t>
  </si>
  <si>
    <t>International Workshop on Requirements Engineering and Law</t>
  </si>
  <si>
    <t>RePa</t>
  </si>
  <si>
    <t>IEEE International Workshop on Requirements Patterns</t>
  </si>
  <si>
    <t>SBACPADW</t>
  </si>
  <si>
    <t>International Symposium on Computer Architecture and High Performance Computing Workshop</t>
  </si>
  <si>
    <t>SBCUP</t>
  </si>
  <si>
    <t>Simpósio Brasileiro de Computação Ubíqua e Pervasiva</t>
  </si>
  <si>
    <t>SBMICRO</t>
  </si>
  <si>
    <t>Symposium on Microelectronics Technology and Devices</t>
  </si>
  <si>
    <t>SBPO</t>
  </si>
  <si>
    <t>Simpósio Brasileiro de Pesquisa Operacional</t>
  </si>
  <si>
    <t>SBST</t>
  </si>
  <si>
    <t>International Workshop on Search-Based Software Testing</t>
  </si>
  <si>
    <t>SCCTSA</t>
  </si>
  <si>
    <t>International Workshop on Smart City Clouds: Technologies, Systems and Applications</t>
  </si>
  <si>
    <t>SCGSE</t>
  </si>
  <si>
    <t>Workshop on Software Support for Collaborative and Global Software Engineering</t>
  </si>
  <si>
    <t>SCSS</t>
  </si>
  <si>
    <t>International Symposium on Symbolic Computation in Software Science</t>
  </si>
  <si>
    <t>SDIEV</t>
  </si>
  <si>
    <t>IEEE Symposium on Differential Evolution</t>
  </si>
  <si>
    <t>SEARIS</t>
  </si>
  <si>
    <t>Workshop on Software Engineering and Architectures for Realtime Interactive Systems</t>
  </si>
  <si>
    <t>SeCoGis</t>
  </si>
  <si>
    <t>International Workshop on Semantic and Conceptual Issues in Geographic Information Systems</t>
  </si>
  <si>
    <t>SEM</t>
  </si>
  <si>
    <t>Joint Conference on Lexical and Computational Semantics</t>
  </si>
  <si>
    <t>SEMISH</t>
  </si>
  <si>
    <t>Seminário Integrado de Software e Hardware</t>
  </si>
  <si>
    <t>SESCPS</t>
  </si>
  <si>
    <t>International Workshop on Software Engineering for Smart Cyber-Physical Systems</t>
  </si>
  <si>
    <t>SESoS</t>
  </si>
  <si>
    <t>International Workshop on Software Engineering for Systems-of-Systems</t>
  </si>
  <si>
    <t>SET</t>
  </si>
  <si>
    <t>Software Engineering Track</t>
  </si>
  <si>
    <t>SHAPES</t>
  </si>
  <si>
    <t>Interdisciplinary Worshop The Shape of Things</t>
  </si>
  <si>
    <t>SmartObjects</t>
  </si>
  <si>
    <t>Workshop on Interacting with Smart Objects</t>
  </si>
  <si>
    <t>SNAA</t>
  </si>
  <si>
    <t>Workshop on Social Network Analysis in Applications</t>
  </si>
  <si>
    <t>SOCIALEDU</t>
  </si>
  <si>
    <t>International Workshop on Social Computing in Digital Education</t>
  </si>
  <si>
    <t>SOCM</t>
  </si>
  <si>
    <t>International Workshop on the Theory and Practice of Social Machines</t>
  </si>
  <si>
    <t>SOCO</t>
  </si>
  <si>
    <t>International Conference on Software Composition</t>
  </si>
  <si>
    <t>SORT</t>
  </si>
  <si>
    <t>IEEE Workshop on Self-Organizing Real-Time Systems</t>
  </si>
  <si>
    <t>SUGARLOAFPLOP</t>
  </si>
  <si>
    <t>Latin American Conference on Pattern Languages of Programming</t>
  </si>
  <si>
    <t>SUMMERSIM</t>
  </si>
  <si>
    <t>Summer Simulation Multi-conference</t>
  </si>
  <si>
    <t>SWEET</t>
  </si>
  <si>
    <t>Workshop on Scalable Workflow Execution Engines and Technologies</t>
  </si>
  <si>
    <t>T&amp;DLA</t>
  </si>
  <si>
    <t>IEEE PES Transmission &amp; Distribution Conference and Exposition Latin America</t>
  </si>
  <si>
    <t>UbiSafe</t>
  </si>
  <si>
    <t>IEEE International Symposium on UbiSafe Computing</t>
  </si>
  <si>
    <t>UCHPC</t>
  </si>
  <si>
    <t>Workshop on UnConventional High Performance Computing</t>
  </si>
  <si>
    <t>UNIF</t>
  </si>
  <si>
    <t>International Workshop on Unification</t>
  </si>
  <si>
    <t>URSW</t>
  </si>
  <si>
    <t>International Workshop on Uncertainty Reasoning for the Semantic Web</t>
  </si>
  <si>
    <t>WAMCA</t>
  </si>
  <si>
    <t>Workshop on Applications for Multi-Core Architectures</t>
  </si>
  <si>
    <t>WER</t>
  </si>
  <si>
    <t>Workshop on Requirements Engineering</t>
  </si>
  <si>
    <t>WETSOM</t>
  </si>
  <si>
    <t>International Workshop on Emerging Trends in Software Metrics</t>
  </si>
  <si>
    <t>WIM</t>
  </si>
  <si>
    <t>Workshop de Informática Médica</t>
  </si>
  <si>
    <t>WNUT</t>
  </si>
  <si>
    <t>Workshop on Noisy User-generated Text</t>
  </si>
  <si>
    <t>WORKS</t>
  </si>
  <si>
    <t>Workshop on Workflows in Support of Large-Scale Science</t>
  </si>
  <si>
    <t>WOSAR</t>
  </si>
  <si>
    <t>International Workshop on Software Aging and Rejuvenation</t>
  </si>
  <si>
    <t>WOSP</t>
  </si>
  <si>
    <t>International Workshop on Mining Scientific Publications</t>
  </si>
  <si>
    <t>WWWW</t>
  </si>
  <si>
    <t>International World Wide Web Conference Workshops</t>
  </si>
  <si>
    <t>3DIPM</t>
  </si>
  <si>
    <t>Three-Dimensional Image Processing, Measurement and Applications</t>
  </si>
  <si>
    <t>AAATE</t>
  </si>
  <si>
    <t>Association for the Advancement of Assistive Technology in Europe Congress</t>
  </si>
  <si>
    <t>ACHI-IARIA</t>
  </si>
  <si>
    <t>IARIA International Conference on Advances in Computer-Human Interactions</t>
  </si>
  <si>
    <t>ACRA</t>
  </si>
  <si>
    <t>Australasian Conference on Robotics and Automation</t>
  </si>
  <si>
    <t>ADVCOMP-IARIA</t>
  </si>
  <si>
    <t>IARIA International Conference on Advanced Engineering Computing and Applications in Sciences</t>
  </si>
  <si>
    <t>AICT-IARIA</t>
  </si>
  <si>
    <t>IARIA Advanced International Conference on Telecommunications</t>
  </si>
  <si>
    <t>ALIO/EURO</t>
  </si>
  <si>
    <t>Workshop on Applied Combinatorial Optimization</t>
  </si>
  <si>
    <t>AM</t>
  </si>
  <si>
    <t>Audio Mostly on Interaction With Sound</t>
  </si>
  <si>
    <t>AOFA</t>
  </si>
  <si>
    <t>International Conference on Probabilistic, Combinatorial and Asymptotic Methods for the Analysis of Algorithms</t>
  </si>
  <si>
    <t>ARGMAS</t>
  </si>
  <si>
    <t>International Workshop on Argumentation in Multiagent Systems</t>
  </si>
  <si>
    <t>BIGDATASECURITY</t>
  </si>
  <si>
    <t>IEEE International Conference on Big Data Security on Cloud</t>
  </si>
  <si>
    <t>BioCOMP-WC</t>
  </si>
  <si>
    <t>International Conference on Bioinformatics &amp; Computational Biology</t>
  </si>
  <si>
    <t>BNAIC</t>
  </si>
  <si>
    <t>Benelux Conference on Artificial Intelligence</t>
  </si>
  <si>
    <t>BRASNAM</t>
  </si>
  <si>
    <t>Brazilian Workshop on Social Network Analysis and Mining</t>
  </si>
  <si>
    <t>C4BIE</t>
  </si>
  <si>
    <t>International Workshop on Cloud for Business, Industry and Enterprises</t>
  </si>
  <si>
    <t>CAAD</t>
  </si>
  <si>
    <t>Computer-Aided Architectural Design Futures Conference</t>
  </si>
  <si>
    <t>CAD</t>
  </si>
  <si>
    <t>International CAD Conference</t>
  </si>
  <si>
    <t>CARE</t>
  </si>
  <si>
    <t>Workshop on Collaborative Agents Research and Development</t>
  </si>
  <si>
    <t>CGIM</t>
  </si>
  <si>
    <t>International Conference on Computer Graphics and Imaging</t>
  </si>
  <si>
    <t>CLAIO</t>
  </si>
  <si>
    <t>Latin-Ibero-American Conference on Operations Research</t>
  </si>
  <si>
    <t>CLOUDCOMPUTING-IARIA</t>
  </si>
  <si>
    <t>IARIA International Conference on Cloud Computing, GRIDs, and Virtualization</t>
  </si>
  <si>
    <t>CMC</t>
  </si>
  <si>
    <t>International Conference on Concept Mapping</t>
  </si>
  <si>
    <t>CobRA</t>
  </si>
  <si>
    <t>International Workshop on Exploring Component-based Techniques for Constructing Reference Architectures</t>
  </si>
  <si>
    <t>COGNITIVE-IARIA</t>
  </si>
  <si>
    <t>IARIA International Conference on Advanced Cognitive Technologies and Applications</t>
  </si>
  <si>
    <t>COMSOC</t>
  </si>
  <si>
    <t>International Workshop on Computational Social Choice</t>
  </si>
  <si>
    <t>CONTEXT-BPM</t>
  </si>
  <si>
    <t>PM - International Workshop on Context for Business Process Management</t>
  </si>
  <si>
    <t>CPA</t>
  </si>
  <si>
    <t>Communicating Process Architectures</t>
  </si>
  <si>
    <t>CSCL</t>
  </si>
  <si>
    <t>International Conference on Computer Supported Collaborative Learning</t>
  </si>
  <si>
    <t>CSCWC</t>
  </si>
  <si>
    <t>International Conference on Scientific Computing</t>
  </si>
  <si>
    <t>DATAANALYTICS-IARIA</t>
  </si>
  <si>
    <t>IARIA International Conference on Data Analytics</t>
  </si>
  <si>
    <t>DBKD-AIARIA</t>
  </si>
  <si>
    <t>IARIA International Conference on Advances in Databases, Knowledge, and Data Applications</t>
  </si>
  <si>
    <t>DCM</t>
  </si>
  <si>
    <t>International Workshop on Developments in Computational Models</t>
  </si>
  <si>
    <t>DESAFIE</t>
  </si>
  <si>
    <t>Workshop de Desafios da Computação Aplicada à Educação</t>
  </si>
  <si>
    <t>EA</t>
  </si>
  <si>
    <t>International Conference on Artificial Evolution</t>
  </si>
  <si>
    <t>ECTA</t>
  </si>
  <si>
    <t>International Conference on Evolutionary Computation Theory and Applications</t>
  </si>
  <si>
    <t>EEEWC</t>
  </si>
  <si>
    <t>International Conference on e-Learning, e-Business, Enterprise Information Systems, and e-Government</t>
  </si>
  <si>
    <t>EIS</t>
  </si>
  <si>
    <t>SPIE Human Vision and Electronic Imaging</t>
  </si>
  <si>
    <t>eKNOW</t>
  </si>
  <si>
    <t>ARIA - IARIA International Conference on Information, Process, and Knowledge Management</t>
  </si>
  <si>
    <t>EnDM</t>
  </si>
  <si>
    <t>Workshop on Energy Data Management</t>
  </si>
  <si>
    <t>ENERGY-IARIA</t>
  </si>
  <si>
    <t>IARIA International Conference on Smart Grids, Green Communications and IT Energy-aware Technologies</t>
  </si>
  <si>
    <t>EPAMUS</t>
  </si>
  <si>
    <t>International Workshop on Engineering Parallel and Multi-core Systems</t>
  </si>
  <si>
    <t>ETELEMED-IARIA</t>
  </si>
  <si>
    <t>elemed - IARIA International Conference on eHealth, Telemedicine, and Social Medicine</t>
  </si>
  <si>
    <t>EUROCG</t>
  </si>
  <si>
    <t>European Workshop on Computational Geometry</t>
  </si>
  <si>
    <t>EUROCOMB</t>
  </si>
  <si>
    <t>European Conference on Combinatorics, Graph Theory and Applications</t>
  </si>
  <si>
    <t>EUROSIM</t>
  </si>
  <si>
    <t>Congress on Modelling and Simulation</t>
  </si>
  <si>
    <t>EuroVISW</t>
  </si>
  <si>
    <t>EuroVis Workshop on Visual Analytics (EuroVA)</t>
  </si>
  <si>
    <t>FCA4AI</t>
  </si>
  <si>
    <t>Workshop What can FCA do for Artificial Intelligence</t>
  </si>
  <si>
    <t>FECS-WS</t>
  </si>
  <si>
    <t>WS International Conference on Frontiers in Education: Computer  Science and Computer Engineering</t>
  </si>
  <si>
    <t>FINS</t>
  </si>
  <si>
    <t>International Workshop on Future Internet and Smart Networks</t>
  </si>
  <si>
    <t>FLINS</t>
  </si>
  <si>
    <t>International FLINS Conference on Decision Making and Soft Computing</t>
  </si>
  <si>
    <t>GeoPROCESSING-IARIA</t>
  </si>
  <si>
    <t>IARIA International Conference on Advanced Geographic Information Systems, Applications, and Services</t>
  </si>
  <si>
    <t>GLOBALDEV</t>
  </si>
  <si>
    <t>Workshop of the AIS Special Interest Group for ICT in Global Development</t>
  </si>
  <si>
    <t>HEALTHINF</t>
  </si>
  <si>
    <t>International Conference on Health Informatics</t>
  </si>
  <si>
    <t>HPG</t>
  </si>
  <si>
    <t>High-Performance Graphics</t>
  </si>
  <si>
    <t>HPPN</t>
  </si>
  <si>
    <t>Workshop on High Performance and Programmable Networking</t>
  </si>
  <si>
    <t>HUMANCOM</t>
  </si>
  <si>
    <t>International Conference on Human-centric Ubiquitous Computing and Applications</t>
  </si>
  <si>
    <t>ICAIWC</t>
  </si>
  <si>
    <t>International Conference on Artificial Intelligence</t>
  </si>
  <si>
    <t>ICARSC</t>
  </si>
  <si>
    <t>IEEE International Conference on Autonomous Robot Systems and Competitions</t>
  </si>
  <si>
    <t>ICAS-IARIA</t>
  </si>
  <si>
    <t>IARIA International Conference on Autonomic and Autonomous Systems</t>
  </si>
  <si>
    <t>ICCDCS</t>
  </si>
  <si>
    <t>International Caribbean Conference on Devices, Circuits and Systems</t>
  </si>
  <si>
    <t>ICCETaiwan</t>
  </si>
  <si>
    <t>IEEE International Conference on Consumer Electronics Taiwan</t>
  </si>
  <si>
    <t>ICCRTS</t>
  </si>
  <si>
    <t>International Command and Control Research and Technology Symposium</t>
  </si>
  <si>
    <t>ICDP</t>
  </si>
  <si>
    <t>International Conference on Imaging for Crime Detection and Prevention</t>
  </si>
  <si>
    <t>ICDS-IARIA</t>
  </si>
  <si>
    <t>IARIA International Conference on Digital Society</t>
  </si>
  <si>
    <t>ICED</t>
  </si>
  <si>
    <t>International Conference on Engineering Design</t>
  </si>
  <si>
    <t>ICIEOM</t>
  </si>
  <si>
    <t>International Conference on Industrial Engineering and Operations Management</t>
  </si>
  <si>
    <t>ICIQ</t>
  </si>
  <si>
    <t>International Conference on Information Quality</t>
  </si>
  <si>
    <t>ICIW-IARIA</t>
  </si>
  <si>
    <t>IARIA International Conference on Internet and Web Applications and Services</t>
  </si>
  <si>
    <t>ICN-IARIA</t>
  </si>
  <si>
    <t>IARIA International Conference on Networks</t>
  </si>
  <si>
    <t>ICNS-IARIA</t>
  </si>
  <si>
    <t>IARIA International Conference on Networking and Services</t>
  </si>
  <si>
    <t>ICOMPWC</t>
  </si>
  <si>
    <t>International Conference on Internet Computing and Internet of Things</t>
  </si>
  <si>
    <t>ICONS-IARIA</t>
  </si>
  <si>
    <t>IARIA International Conference on Systems</t>
  </si>
  <si>
    <t>ICSEA-IARIA</t>
  </si>
  <si>
    <t>IARIA International Conference on Software Engineering Advances</t>
  </si>
  <si>
    <t>ICSNC-IARIA</t>
  </si>
  <si>
    <t>IARIA International Conference on Systems and Networks Communications</t>
  </si>
  <si>
    <t>ICWMC-IARIA</t>
  </si>
  <si>
    <t>IARIA International Conference on Wireless and Mobile Communications</t>
  </si>
  <si>
    <t>ICWNWC</t>
  </si>
  <si>
    <t>International Conference on Wireless Networks</t>
  </si>
  <si>
    <t>IEMSS</t>
  </si>
  <si>
    <t>International Congress on Environmental Modelling &amp; Software</t>
  </si>
  <si>
    <t>INNOV-IARIA</t>
  </si>
  <si>
    <t>IARIA International Conference on Communications, Computation, Networks and Technologies</t>
  </si>
  <si>
    <t>INOC</t>
  </si>
  <si>
    <t>International Network Optimization Conference</t>
  </si>
  <si>
    <t>INTELLI-IARIA</t>
  </si>
  <si>
    <t>IARIA International Conference on Intelligent Systems and Applications</t>
  </si>
  <si>
    <t>INTELLISYS</t>
  </si>
  <si>
    <t>SAI Intelligent Systems Conference</t>
  </si>
  <si>
    <t>INTERACCION</t>
  </si>
  <si>
    <t>International Conference on Human Computer Interaction</t>
  </si>
  <si>
    <t>IPCVWC</t>
  </si>
  <si>
    <t>International Conference on Image Processing, Computer Vision, and Pattern Recognition</t>
  </si>
  <si>
    <t>ISCAW</t>
  </si>
  <si>
    <t>Image-Based Smart City Application Workshop</t>
  </si>
  <si>
    <t>ISWPC</t>
  </si>
  <si>
    <t>International Symposium on Wireless and Pervasive Computing</t>
  </si>
  <si>
    <t>IWC</t>
  </si>
  <si>
    <t>International Workshop on Confluence</t>
  </si>
  <si>
    <t>IWS</t>
  </si>
  <si>
    <t>Iberchip Workshop</t>
  </si>
  <si>
    <t>IWSG</t>
  </si>
  <si>
    <t>International Workshop on Science Gateways</t>
  </si>
  <si>
    <t>KDMILE</t>
  </si>
  <si>
    <t>Symposium on Knowledge Discovery, Mining and Learning</t>
  </si>
  <si>
    <t>LAC</t>
  </si>
  <si>
    <t>Linux Audio Conference</t>
  </si>
  <si>
    <t>LAFM</t>
  </si>
  <si>
    <t>Latin American Workshop on Formal Methods</t>
  </si>
  <si>
    <t>LANMR</t>
  </si>
  <si>
    <t>Latin American Workshop on Logic/Languages, Algorithms and New Methods of Reasoning</t>
  </si>
  <si>
    <t>LATINCLOUD</t>
  </si>
  <si>
    <t>IEEE Latin America Conference on Cloud Computing and Communications</t>
  </si>
  <si>
    <t>LAWCG</t>
  </si>
  <si>
    <t>Latin American Workshop on Cliques in Graphs</t>
  </si>
  <si>
    <t>LISS</t>
  </si>
  <si>
    <t>International Conference on Logistics, Informatics and Services Sciences</t>
  </si>
  <si>
    <t>LRC</t>
  </si>
  <si>
    <t>Workshop on Logical Reasoning and Computation</t>
  </si>
  <si>
    <t>MASLE</t>
  </si>
  <si>
    <t>Workshop in Multiagent System Based Learning Environments</t>
  </si>
  <si>
    <t>Matheuristics</t>
  </si>
  <si>
    <t>International Workshop on Model-based metaheuristics</t>
  </si>
  <si>
    <t>MCDM</t>
  </si>
  <si>
    <t>International Conference on Multiple Criteria Decision Making</t>
  </si>
  <si>
    <t>MEDIAN</t>
  </si>
  <si>
    <t>Workshop On Manufacturable and Dependable Multicore Architectures at Nanoscale</t>
  </si>
  <si>
    <t>MIC</t>
  </si>
  <si>
    <t>Metaheuristics International Conference</t>
  </si>
  <si>
    <t>MIKON</t>
  </si>
  <si>
    <t>International Conference on Microwave, Radar and Wireless Communications</t>
  </si>
  <si>
    <t>MMEDIA-IARIA</t>
  </si>
  <si>
    <t>International Conferences on Advances in Multimedia</t>
  </si>
  <si>
    <t>MoWNeT</t>
  </si>
  <si>
    <t>International Conference on Selected Topics in Mobile and Wireless Networking</t>
  </si>
  <si>
    <t>MSI</t>
  </si>
  <si>
    <t>International Conference on Modelling, Simulation and Identification</t>
  </si>
  <si>
    <t>MS-ST</t>
  </si>
  <si>
    <t>IEEE MS Special Track on Services for the Ubiquitous Web</t>
  </si>
  <si>
    <t>MSVWC</t>
  </si>
  <si>
    <t>International Conference on Modeling, Simulation and Visualization Methods</t>
  </si>
  <si>
    <t>NLPCS</t>
  </si>
  <si>
    <t>International Workshop on Natural Language Processing and Cognitive Science</t>
  </si>
  <si>
    <t>NRW</t>
  </si>
  <si>
    <t>Asia Pacific Advanced Network Research Workshop</t>
  </si>
  <si>
    <t>PAAMSW</t>
  </si>
  <si>
    <t>International Workshops of Practical Applications of Agents, Multi-Agent Systems, and Sustainability</t>
  </si>
  <si>
    <t>PATAT</t>
  </si>
  <si>
    <t>International Conference on the Practice and Theory of Automated Timetabling</t>
  </si>
  <si>
    <t>PATTERNS</t>
  </si>
  <si>
    <t>International Conferences on Pervasive Patterns and Applications</t>
  </si>
  <si>
    <t>PDPTAWC</t>
  </si>
  <si>
    <t>International Conference on Parallel and Distributed Processing Techniques and Applications</t>
  </si>
  <si>
    <t>PLP</t>
  </si>
  <si>
    <t>International Workshop on Probabilistic Programming</t>
  </si>
  <si>
    <t>PoEM</t>
  </si>
  <si>
    <t>IFIP WG 8.1 Working Conference on the Practice of Enterprise Modelling</t>
  </si>
  <si>
    <t>QMMQ</t>
  </si>
  <si>
    <t>Quality of Models and Models of Quality Workshop</t>
  </si>
  <si>
    <t>QRSW</t>
  </si>
  <si>
    <t>IEEE International Conference on Software Quality, Reliability and Security Companion</t>
  </si>
  <si>
    <t>REM</t>
  </si>
  <si>
    <t>Workshop on Reactivity, Events and Modularity</t>
  </si>
  <si>
    <t>RESER</t>
  </si>
  <si>
    <t>International Workshop on Replication in Empirical Software Engineering Research</t>
  </si>
  <si>
    <t>SACCONET</t>
  </si>
  <si>
    <t>International Conference on Smart Communications in Network Technologies</t>
  </si>
  <si>
    <t>SAMWC</t>
  </si>
  <si>
    <t>International Conference on Security and Management</t>
  </si>
  <si>
    <t>SAST</t>
  </si>
  <si>
    <t>Brazilian Workshop on Systematic and Automated Software Testing</t>
  </si>
  <si>
    <t>SBAI</t>
  </si>
  <si>
    <t>Simpósio Brasileiro de Automação Inteligente</t>
  </si>
  <si>
    <t>SBIAGRO</t>
  </si>
  <si>
    <t>Congresso Brasileiro de Agroinformática</t>
  </si>
  <si>
    <t>Scrowd</t>
  </si>
  <si>
    <t>Workshop de Sistemas de Crowdsourcing</t>
  </si>
  <si>
    <t>SCSC</t>
  </si>
  <si>
    <t>Summer Computer Simulation Conference</t>
  </si>
  <si>
    <t>SDH</t>
  </si>
  <si>
    <t>International Symposium on Spatial Data Handling</t>
  </si>
  <si>
    <t>SEAWAVE</t>
  </si>
  <si>
    <t>Workshop on Seamless Adaptive Multi-cloud Management of Service-based Applications</t>
  </si>
  <si>
    <t>SECURWARE-IARIA</t>
  </si>
  <si>
    <t>IARIA International Conference on Emerging Security Information, Systems and Technologies</t>
  </si>
  <si>
    <t>SEMAPROIARIA</t>
  </si>
  <si>
    <t>IARIA International Conference on Advances in Semantic Processing</t>
  </si>
  <si>
    <t>SEMEVAL</t>
  </si>
  <si>
    <t>International Workshop on Semantic Evaluation</t>
  </si>
  <si>
    <t>SERPWC</t>
  </si>
  <si>
    <t>International Conference on Software Engineering Research and Practice</t>
  </si>
  <si>
    <t>SESENA</t>
  </si>
  <si>
    <t>International Workshop on Software Engineering for Sensor Network Applications</t>
  </si>
  <si>
    <t>SIGGRAPH-Asia</t>
  </si>
  <si>
    <t>sia - Conference on Computer Graphics and Interactive Techniques</t>
  </si>
  <si>
    <t>SLISW</t>
  </si>
  <si>
    <t>Simposio Latinoamericano de Ingeniería de Software</t>
  </si>
  <si>
    <t>SMusC</t>
  </si>
  <si>
    <t>Sound and Music Computing Conference</t>
  </si>
  <si>
    <t>SOFTENG-IARIA</t>
  </si>
  <si>
    <t>IARIA International Conference on Advances and Trends in Software Engineering</t>
  </si>
  <si>
    <t>SoWeMi</t>
  </si>
  <si>
    <t>International Workshop on Mining the Social Web</t>
  </si>
  <si>
    <t>SPECTS</t>
  </si>
  <si>
    <t>International Symposium on Performance Evaluation of Computer and Telecommunications Systems</t>
  </si>
  <si>
    <t>SSC</t>
  </si>
  <si>
    <t>Social Simulation Conference</t>
  </si>
  <si>
    <t>SWWSWC</t>
  </si>
  <si>
    <t>International Conference on Semantic Web and Web Services</t>
  </si>
  <si>
    <t>TaPP</t>
  </si>
  <si>
    <t>International Workshop on Theory and Practice of Provenance</t>
  </si>
  <si>
    <t>TISE</t>
  </si>
  <si>
    <t>Congreso Internacional de Informática Educativa</t>
  </si>
  <si>
    <t>ToRPorEsp</t>
  </si>
  <si>
    <t>Workshop on Tools and Resources for Automatically Processing Portuguese and Spanish</t>
  </si>
  <si>
    <t>UBICOMM-IARIA</t>
  </si>
  <si>
    <t>IARIA International Conference on Mobile Ubiquitous Computing, Systems, Services and Technologies</t>
  </si>
  <si>
    <t>UNET</t>
  </si>
  <si>
    <t>International Symposium on Ubiquitous Networking</t>
  </si>
  <si>
    <t>VEM</t>
  </si>
  <si>
    <t>Workshop on Software Visualization, Evolution and Maintenance</t>
  </si>
  <si>
    <t>VPQM</t>
  </si>
  <si>
    <t>International Workshop on Video Processing and Quality Metrics for Consumer Electronics</t>
  </si>
  <si>
    <t>WAPCO</t>
  </si>
  <si>
    <t>Workshop on Approximate Computing</t>
  </si>
  <si>
    <t>WCAMA</t>
  </si>
  <si>
    <t>Workshop de Computação Aplicada à Gestão do Meio Ambiente e Recursos Naturais</t>
  </si>
  <si>
    <t>WCAS</t>
  </si>
  <si>
    <t>Workshop on Circuits and Systems Design</t>
  </si>
  <si>
    <t>WCGE</t>
  </si>
  <si>
    <t>Workshop de Computação Aplicada ao Governo Eletrônico</t>
  </si>
  <si>
    <t>WDES</t>
  </si>
  <si>
    <t>Workshop de Desenvolvimento Distribuído de Software</t>
  </si>
  <si>
    <t>WEAC</t>
  </si>
  <si>
    <t>Workshop sobre Educação em Arquitetura de Computadores</t>
  </si>
  <si>
    <t>WEIHC</t>
  </si>
  <si>
    <t>Workshop sobre Ensino de IHC</t>
  </si>
  <si>
    <t>WESB</t>
  </si>
  <si>
    <t>Workshop de Engenharia de Software Baseada em Busca</t>
  </si>
  <si>
    <t>WFA</t>
  </si>
  <si>
    <t>Workshop de Ferramentas e Aplicações</t>
  </si>
  <si>
    <t>WISM</t>
  </si>
  <si>
    <t>Workshop on Web Information Systems Modeling</t>
  </si>
  <si>
    <t>WMOD</t>
  </si>
  <si>
    <t>Workshop on Software Modularity</t>
  </si>
  <si>
    <t>WOCCES</t>
  </si>
  <si>
    <t>Workshop de Comunicação em Sistemas Embarcados Crítico</t>
  </si>
  <si>
    <t>WoMO</t>
  </si>
  <si>
    <t>International Workshop on Modular Ontologies</t>
  </si>
  <si>
    <t>WP2P+</t>
  </si>
  <si>
    <t>Workshop de Redes P2P, Dinâmicas, Sociais e Orientadas a Conteúdo</t>
  </si>
  <si>
    <t>WPEIF</t>
  </si>
  <si>
    <t>Workshop de Pesquisa Experimental da Internet do Futuro</t>
  </si>
  <si>
    <t>WRE</t>
  </si>
  <si>
    <t>Workshop of Robotics in Education</t>
  </si>
  <si>
    <t>WRVA</t>
  </si>
  <si>
    <t>Workshop de Realidade Virtual e Aumentada</t>
  </si>
  <si>
    <t>WSL</t>
  </si>
  <si>
    <t>Workshop de Software Livre</t>
  </si>
  <si>
    <t>WTF</t>
  </si>
  <si>
    <t>Workshop de Testes e Tolerância a Falhas</t>
  </si>
  <si>
    <t>WTranS</t>
  </si>
  <si>
    <t>Workshop de Transparência de Sistema</t>
  </si>
  <si>
    <t>WTTM</t>
  </si>
  <si>
    <t>Workshop on the Theory of Transactional Memory</t>
  </si>
  <si>
    <t>WVC</t>
  </si>
  <si>
    <t>Workshop de Visão Computacional</t>
  </si>
  <si>
    <t>TOP</t>
  </si>
  <si>
    <t>NOME</t>
  </si>
  <si>
    <t>H5</t>
  </si>
  <si>
    <t>GOOGLE METRICS LINK</t>
  </si>
  <si>
    <t>Top 10</t>
  </si>
  <si>
    <t>https://scholar.google.com.br/citations?hl=en&amp;view_op=list_hcore&amp;venue=-RiAttlQ-g0J.2018</t>
  </si>
  <si>
    <t>IEEE International Symposium on High Performance Computer Architecture</t>
  </si>
  <si>
    <t>https://scholar.google.com.br/citations?hl=en&amp;view_op=list_hcore&amp;venue=oRj0q6yVVdsJ.2018</t>
  </si>
  <si>
    <t>https://scholar.google.com.br/citations?hl=pt-BR&amp;view_op=list_hcore&amp;venue=KlkFB9T8yJEJ.2018</t>
  </si>
  <si>
    <t>IEEE International Symposium on Parallel &amp; Distributed Processing</t>
  </si>
  <si>
    <t>https://scholar.google.com.br/citations?hl=en&amp;view_op=list_hcore&amp;venue=Cge5_JoKLicJ.2018</t>
  </si>
  <si>
    <t>ACM/IEEE Supercomputing Conference</t>
  </si>
  <si>
    <t>https://scholar.google.com/citations?hl=en&amp;view_op=list_hcore&amp;venue=s_dKfSWgBmwJ.2018</t>
  </si>
  <si>
    <t>MICRO</t>
  </si>
  <si>
    <t>IEEE/ACM International Symposium on Microarchitecture</t>
  </si>
  <si>
    <t>https://scholar.google.com/citations?hl=en&amp;vq=eng_computerhardwaredesign&amp;view_op=list_hcore&amp;venue=UpKDzfQ1ak8J.2018</t>
  </si>
  <si>
    <t>CCGrid</t>
  </si>
  <si>
    <t>IEEE International Symposium on Cluster Computing and the Grid</t>
  </si>
  <si>
    <t>https://scholar.google.com.br/citations?hl=en&amp;view_op=list_hcore&amp;venue=_IeLSKDu4j0J.2018</t>
  </si>
  <si>
    <t>PPoPP</t>
  </si>
  <si>
    <t>ACM SIGPLAN Symposium on Principles &amp; Practice of Parallel Programming</t>
  </si>
  <si>
    <t>https://scholar.google.com.br/citations?hl=en&amp;view_op=list_hcore&amp;venue=JDUQTRUV4EYJ.2018</t>
  </si>
  <si>
    <t>https://scholar.google.com.br/citations?hl=pt-BR&amp;view_op=list_hcore&amp;venue=V91jHpOGqs0J.2018</t>
  </si>
  <si>
    <t>https://scholar.google.com.br/citations?hl=en&amp;view_op=list_hcore&amp;venue=OLgTDUKI5wUJ.2018</t>
  </si>
  <si>
    <t>Top 20</t>
  </si>
  <si>
    <t>ACM International Symposium on High Performance Distributed Computing</t>
  </si>
  <si>
    <t>https://scholar.google.com.br/citations?hl=en&amp;view_op=list_hcore&amp;venue=VcBBCUw4gmMJ.2018</t>
  </si>
  <si>
    <t>ICS</t>
  </si>
  <si>
    <t>International Conference on Supercomputing</t>
  </si>
  <si>
    <t>https://scholar.google.com.br/citations?hl=en&amp;view_op=list_hcore&amp;venue=3tXj5_VxBMkJ.2018</t>
  </si>
  <si>
    <t>SPAA</t>
  </si>
  <si>
    <t>ACM Symposium on Parallelism in Algorithms and Architectures</t>
  </si>
  <si>
    <t>https://scholar.google.com/citations?hl=en&amp;view_op=list_hcore&amp;venue=siTGI384Pw4J.2016</t>
  </si>
  <si>
    <t>CloudCOM</t>
  </si>
  <si>
    <t>IEEE International Conference on Cloud Computing Technology and Science (CloudCom)</t>
  </si>
  <si>
    <t>https://scholar.google.com.br/citations?hl=pt-BR&amp;view_op=search_venues&amp;vq=cloudcom&amp;btnG=</t>
  </si>
  <si>
    <t>EuroPar</t>
  </si>
  <si>
    <t>https://scholar.google.com.br/citations?hl=en&amp;view_op=list_hcore&amp;venue=tOMY2Y_aVTMJ.2018</t>
  </si>
  <si>
    <t>https://scholar.google.com.br/citations?hl=pt-BR&amp;view_op=list_hcore&amp;venue=4qd95Riz9Y4J.2018</t>
  </si>
  <si>
    <t>ISC</t>
  </si>
  <si>
    <t>International Supercomputing Conference</t>
  </si>
  <si>
    <t>https://scholar.google.com.br/citations?hl=en&amp;view_op=list_hcore&amp;venue=hsyBYLPZc7UJ.2018</t>
  </si>
  <si>
    <t>https://scholar.google.com.br/citations?hl=pt-BR&amp;view_op=list_hcore&amp;venue=2UdIRucVFKoJ.2018</t>
  </si>
  <si>
    <t>IEEE International Conference on High Performance Computing and Communications</t>
  </si>
  <si>
    <t>https://scholar.google.com/citations?hl=en&amp;view_op=list_hcore&amp;venue=24yLf-XtlC4J.2016</t>
  </si>
  <si>
    <t>International Symposium on Computer Architecture and High Performance Computing</t>
  </si>
  <si>
    <t>https://scholar.google.com.br/citations?hl=en&amp;view_op=list_hcore&amp;venue=xujU2BmpDawJ.2018</t>
  </si>
  <si>
    <t>Eventos da Área</t>
  </si>
  <si>
    <t xml:space="preserve">ICC </t>
  </si>
  <si>
    <t>ACM International Conference on Utility and Cloud Computing</t>
  </si>
  <si>
    <t>https://scholar.google.com.br/citations?hl=pt-BR&amp;view_op=list_hcore&amp;venue=gCzn4TRHFGQJ.2019</t>
  </si>
  <si>
    <t>Cluster</t>
  </si>
  <si>
    <t>https://scholar.google.com.br/citations?hl=en&amp;view_op=list_hcore&amp;venue=55hG19HkCfUJ.2018</t>
  </si>
  <si>
    <t>https://scholar.google.com.br/citations?hl=pt-BR&amp;view_op=list_hcore&amp;venue=XCtaep9ccdcJ.2018</t>
  </si>
  <si>
    <t>https://scholar.google.com.br/citations?hl=pt-BR&amp;view_op=list_hcore&amp;venue=0jK8bHjCH68J.2018</t>
  </si>
  <si>
    <t>https://scholar.google.com.br/citations?hl=pt-BR&amp;view_op=list_hcore&amp;venue=BegUMfxqGy4J.2018</t>
  </si>
  <si>
    <t>Euromicro Conference on Digital System Design, Architectures, Methods and Tools</t>
  </si>
  <si>
    <t>https://scholar.google.com.br/citations?hl=pt-BR&amp;view_op=list_hcore&amp;venue=42wcJhr2yF0J.2018</t>
  </si>
  <si>
    <t>NOCS</t>
  </si>
  <si>
    <t>ACM/IEEE International Symposium on Networks-on-Chip</t>
  </si>
  <si>
    <t>https://scholar.google.com.br/citations?hl=pt-BR&amp;view_op=list_hcore&amp;venue=kqnJhx6rIkYJ.2018</t>
  </si>
  <si>
    <t>https://scholar.google.com.br/citations?hl=en&amp;view_op=list_hcore&amp;venue=8awDgn_OhGYJ.2018</t>
  </si>
  <si>
    <t>https://scholar.google.com/citations?hl=en&amp;view_op=list_hcore&amp;venue=TEhiaki8604J.2018</t>
  </si>
  <si>
    <t>HiPC</t>
  </si>
  <si>
    <t>International Conference on High Performance Computing</t>
  </si>
  <si>
    <t>https://scholar.google.com.br/citations?hl=en&amp;view_op=list_hcore&amp;venue=rjLGlFQoqI8J.2018</t>
  </si>
  <si>
    <t>https://scholar.google.com.br/citations?hl=pt-BR&amp;view_op=list_hcore&amp;venue=J2WvLRIhE6UJ.2018</t>
  </si>
  <si>
    <t>https://scholar.google.com.br/citations?hl=pt-BR&amp;view_op=list_hcore&amp;venue=9Io6PPD79ysJ.2018</t>
  </si>
  <si>
    <t>ParCo</t>
  </si>
  <si>
    <t>https://scholar.google.com.br/citations?hl=pt-BR&amp;view_op=list_hcore&amp;venue=YMZvpHQLiIMJ.2018</t>
  </si>
  <si>
    <t>https://scholar.google.com.br/citations?hl=pt-BR&amp;view_op=list_hcore&amp;venue=rAbNW5NaTSIJ.2018</t>
  </si>
  <si>
    <t>EuroMPI</t>
  </si>
  <si>
    <t>European MPI Users Group Meeting</t>
  </si>
  <si>
    <t>https://scholar.google.com/citations?hl=en&amp;view_op=list_hcore&amp;venue=eVYF6giBmnoJ.2018</t>
  </si>
  <si>
    <t>ARCS</t>
  </si>
  <si>
    <t>International Conference on Architecture of Computing Systems</t>
  </si>
  <si>
    <t>https://scholar.google.com.br/citations?hl=pt-BR&amp;view_op=list_hcore&amp;venue=0iDRKaj8G38J.2018</t>
  </si>
  <si>
    <t>VLSI-SoC</t>
  </si>
  <si>
    <t>IEEE/IFIP International Conference on VLSI and System-on-Chip</t>
  </si>
  <si>
    <t>https://scholar.google.com/citations?hl=en&amp;view_op=list_hcore&amp;venue=0lu0mPyqVXAJ.2018</t>
  </si>
  <si>
    <t>ReCoSoC</t>
  </si>
  <si>
    <t>https://scholar.google.com/citations?hl=en&amp;view_op=list_hcore&amp;venue=z8sUAB07Au0J.2018</t>
  </si>
  <si>
    <t>DASIP</t>
  </si>
  <si>
    <t>Conference on Design and Architectures for Signal and Image Processing</t>
  </si>
  <si>
    <t>https://scholar.google.com/citations?hl=en&amp;view_op=list_hcore&amp;venue=Nou5jsMlswEJ.2018</t>
  </si>
  <si>
    <t>IEEE International SOC Conference</t>
  </si>
  <si>
    <t>https://scholar.google.com/citations?hl=en&amp;view_op=list_hcore&amp;venue=-JLYUDNfBVUJ.2019</t>
  </si>
  <si>
    <t>https://scholar.google.com.br/citations?hl=pt-BR&amp;view_op=list_hcore&amp;venue=BZK2l1JW2UsJ.2018</t>
  </si>
  <si>
    <t>MCSoC</t>
  </si>
  <si>
    <t>International Symposium on Embedded Multicore/Many-core Systems-on-Chip</t>
  </si>
  <si>
    <t>https://scholar.google.com/citations?hl=en&amp;view_op=list_hcore&amp;venue=cNDfl82p1FwJ.2018</t>
  </si>
  <si>
    <t>https://scholar.google.com.br/citations?hl=en&amp;view_op=list_hcore&amp;venue=EA9qTFRFeoUJ.2018</t>
  </si>
  <si>
    <t xml:space="preserve">International Meeting on High Performance Computing for Computation Science </t>
  </si>
  <si>
    <t xml:space="preserve">PP </t>
  </si>
  <si>
    <t>SIAM Conference on Parallel Processing for Scientific Computing (PP20)</t>
  </si>
  <si>
    <t>https://www.siam.org/Conferences/CM/Conference/pp20</t>
  </si>
  <si>
    <t>PPAM</t>
  </si>
  <si>
    <t>INTERNATIONAL CONFERENCE ON PARALLEL PROCESSING AND APPLIED MATHEMATICS</t>
  </si>
  <si>
    <t>SIGKDD</t>
  </si>
  <si>
    <t>ACM SIGKDD International Conference on Knowledge Discovery and Data Mining</t>
  </si>
  <si>
    <t>https://scholar.google.es/citations?hl=en&amp;vq=eng_datamininganalysis&amp;view_op=list_hcore&amp;venue=DxPOk84pRIIJ.2018</t>
  </si>
  <si>
    <t>https://scholar.google.com/citations?hl=en&amp;vq=eng_computerhardwaredesign&amp;view_op=list_hcore&amp;venue=OFl_RqYMPbYJ.2018</t>
  </si>
  <si>
    <t>BIG DATA</t>
  </si>
  <si>
    <t>IEEE International Conference on Big Data</t>
  </si>
  <si>
    <t>https://scholar.google.es/citations?hl=en&amp;vq=eng_datamininganalysis&amp;view_op=list_hcore&amp;venue=5qcbaE0D5owJ.2018</t>
  </si>
  <si>
    <t>FPGA</t>
  </si>
  <si>
    <t>Symposium on Field Programmable Gate Arrays</t>
  </si>
  <si>
    <t>https://scholar.google.com/citations?hl=en&amp;vq=eng_computerhardwaredesign&amp;view_op=list_hcore&amp;venue=X39h_ye2QL4J.2018</t>
  </si>
  <si>
    <t>International Conference on Field Programmable Logic and Applications</t>
  </si>
  <si>
    <t>https://scholar.google.com.br/citations?hl=pt-BR&amp;view_op=list_hcore&amp;venue=7JfwVbgjkZUJ.2018</t>
  </si>
  <si>
    <t>https://scholar.google.com.br/citations?hl=pt-BR&amp;view_op=list_hcore&amp;venue=kYDZP1q0-MAJ.2018</t>
  </si>
  <si>
    <t>IEEE International Symposium on Design and Diagnostics of Electronic Circuits &amp; Systems</t>
  </si>
  <si>
    <t>https://scholar.google.com.br/citations?hl=pt-BR&amp;view_op=list_hcore&amp;venue=7-_qFtHfavIJ.2018</t>
  </si>
  <si>
    <t>SIAM Conference on Computational Science and Engineering (CSE19)</t>
  </si>
  <si>
    <t>https://www.siam.org/Conferences/CM/Conference/cse19</t>
  </si>
  <si>
    <t>https://scholar.google.com/citations?hl=en&amp;vq=eng_computerhardwaredesign&amp;view_op=list_hcore&amp;venue=OFl_RqYMPbYJ.2020</t>
  </si>
  <si>
    <t>https://scholar.google.com/citations?hl=en&amp;vq=eng_computerhardwaredesign&amp;view_op=list_hcore&amp;venue=ibKkJ-6gcSEJ.2020</t>
  </si>
  <si>
    <t>https://scholar.google.com.br/citations?hl=pt-BR&amp;vq=eng_computingsystems&amp;view_op=list_hcore&amp;venue=8LhhnAnPYO8J.2020</t>
  </si>
  <si>
    <t>IEEE/ACM International Conference on Computer-Aided Design (ICCAD)</t>
  </si>
  <si>
    <t>https://scholar.google.com/citations?hl=en&amp;vq=eng_computerhardwaredesign&amp;view_op=list_hcore&amp;venue=4CNgrChSeFwJ.2020</t>
  </si>
  <si>
    <t>ASP-DAC</t>
  </si>
  <si>
    <t xml:space="preserve">Asia and South Pacific Design Automation Conference </t>
  </si>
  <si>
    <t>https://scholar.google.com/citations?hl=en&amp;vq=eng_computerhardwaredesign&amp;view_op=list_hcore&amp;venue=4OI7pMNBopQJ.2020</t>
  </si>
  <si>
    <t>IEEE International Real-Time Systems Symposium (RTSS)</t>
  </si>
  <si>
    <t>https://scholar.google.com.br/citations?hl=pt-BR&amp;view_op=list_hcore&amp;venue=Eaq7PPGljDUJ.2018</t>
  </si>
  <si>
    <t>EMSOFT</t>
  </si>
  <si>
    <t>ACM International Conference on Embedded Software</t>
  </si>
  <si>
    <t>https://scholar.google.com.br/citations?hl=pt-BR&amp;view_op=list_hcore&amp;venue=qtGE7auaGpUJ.2018</t>
  </si>
  <si>
    <t>https://scholar.google.com.br/citations?hl=pt-BR&amp;view_op=list_hcore&amp;venue=EA9qTFRFeoUJ.2020</t>
  </si>
  <si>
    <t>https://scholar.google.com.br/citations?hl=pt-BR&amp;vq=eng_computerhardwaredesign&amp;view_op=list_hcore&amp;venue=X39h_ye2QL4J.2020</t>
  </si>
  <si>
    <t>RTAS</t>
  </si>
  <si>
    <t>IEEE REAL-TIME AND EMBEDDED TECHNOLOGY AND APPLICATIONS SYMPOSIUM</t>
  </si>
  <si>
    <t>https://scholar.google.com.br/citations?hl=pt-BR&amp;view_op=list_hcore&amp;venue=2YPqFanDRcAJ.2018</t>
  </si>
  <si>
    <t>https://scholar.google.com.br/citations?hl=pt-BR&amp;view_op=list_hcore&amp;venue=GtwA7m_XqZUJ.2020</t>
  </si>
  <si>
    <t>IEEE International Conference on Computer Design</t>
  </si>
  <si>
    <t>https://scholar.google.com.br/citations?hl=pt-BR&amp;view_op=list_hcore&amp;venue=w97phOXkiQoJ.2018</t>
  </si>
  <si>
    <t>IEEE Symposium on Field-Programmable Custom Computing Machines</t>
  </si>
  <si>
    <t>https://scholar.google.com.br/citations?hl=pt-BR&amp;view_op=list_hcore&amp;venue=uLGTNGzfRS0J.2020</t>
  </si>
  <si>
    <t>CODES+ISS</t>
  </si>
  <si>
    <t>IEEE/ACM/IFIP International Conference on Hardware/Software Codesign and System Aynthesis</t>
  </si>
  <si>
    <t>https://scholar.google.com.br/citations?hl=pt-BR&amp;view_op=list_hcore&amp;venue=T2e4CG7wu5kJ.2018</t>
  </si>
  <si>
    <t>https://scholar.google.com.br/citations?hl=pt-BR&amp;view_op=list_hcore&amp;venue=Mb3P41xz9HIJ.2018</t>
  </si>
  <si>
    <t>Euromicro Conference on Digital System Design, Architectures, Methods and Tools, DSD</t>
  </si>
  <si>
    <t>https://scholar.google.com.br/citations?hl=pt-BR&amp;view_op=list_hcore&amp;venue=42wcJhr2yF0J.2020</t>
  </si>
  <si>
    <t>https://scholar.google.com.br/citations?hl=pt-BR&amp;view_op=list_hcore&amp;venue=TEhiaki8604J.2018</t>
  </si>
  <si>
    <t>https://scholar.google.com.br/citations?hl=pt-BR&amp;view_op=list_hcore&amp;venue=BsXPy-a3od0J.2018</t>
  </si>
  <si>
    <t>https://scholar.google.com.br/citations?hl=pt-BR&amp;view_op=list_hcore&amp;venue=bIF9l832asoJ.2018</t>
  </si>
  <si>
    <t>https://scholar.google.com.br/citations?hl=pt-BR&amp;view_op=list_hcore&amp;venue=KlkFB9T8yJEJ.2020</t>
  </si>
  <si>
    <t>https://scholar.google.com.br/citations?hl=pt-BR&amp;view_op=list_hcore&amp;venue=V91jHpOGqs0J.2020</t>
  </si>
  <si>
    <t>https://scholar.google.com.br/citations?hl=pt-BR&amp;view_op=list_hcore&amp;venue=oGDa9y0RKw8J.2020</t>
  </si>
  <si>
    <t>https://scholar.google.com.br/citations?hl=pt-BR&amp;view_op=list_hcore&amp;venue=IRnEg4i2mP4J.2020</t>
  </si>
  <si>
    <t>SIES</t>
  </si>
  <si>
    <t>International Symposium on Industrial Embedded Systems</t>
  </si>
  <si>
    <t>https://scholar.google.com.br/citations?hl=pt-BR&amp;view_op=list_hcore&amp;venue=DCw_w5dKpBoJ.2018</t>
  </si>
  <si>
    <t>IEEE International Conference on Application-specific Systems: Architectures and Processors</t>
  </si>
  <si>
    <t>https://scholar.google.com.br/citations?hl=pt-BR&amp;view_op=list_hcore&amp;venue=8awDgn_OhGYJ.2018</t>
  </si>
  <si>
    <t>https://scholar.google.com.br/citations?hl=pt-BR&amp;view_op=list_hcore&amp;venue=YnM0PRNMjrsJ.2020</t>
  </si>
  <si>
    <t>International Conference on Embedded Computer Systems (SAMOS)</t>
  </si>
  <si>
    <t>https://scholar.google.com.br/citations?hl=pt-BR&amp;view_op=list_hcore&amp;venue=6GMyv-BpYgwJ.2020</t>
  </si>
  <si>
    <t>https://dblp.uni-trier.de/db/conf/rsp/</t>
  </si>
  <si>
    <t>https://dblp.uni-trier.de/db/conf/iess/</t>
  </si>
  <si>
    <t>VLSI-SOC</t>
  </si>
  <si>
    <t xml:space="preserve">IEEE/IFIP International Conference on VLSI and System-on-Chip </t>
  </si>
  <si>
    <t>https://scholar.google.com/citations?hl=pt-BR&amp;view_op=list_hcore&amp;venue=0lu0mPyqVXAJ.2020</t>
  </si>
  <si>
    <t>https://scholar.google.com.br/citations?hl=pt-BR&amp;view_op=list_hcore&amp;venue=GB0Vh2OevT0J.2020</t>
  </si>
  <si>
    <t>https://scholar.google.com.br/citations?hl=pt-BR&amp;view_op=list_hcore&amp;venue=z8sUAB07Au0J.2018</t>
  </si>
  <si>
    <t>PECCS</t>
  </si>
  <si>
    <t>Pervasive and Embedded Computing and Communication Systems</t>
  </si>
  <si>
    <t>https://scholar.google.com.br/citations?hl=pt-BR&amp;view_op=list_hcore&amp;venue=kG0dCDBKbysJ.2018</t>
  </si>
  <si>
    <t>ICIIECS</t>
  </si>
  <si>
    <t>International Conference on Innovations in Information, Embedded and Communication Systems</t>
  </si>
  <si>
    <t>https://scholar.google.com.br/citations?hl=pt-BR&amp;view_op=list_hcore&amp;venue=j_CZ9hAXkzIJ.2020</t>
  </si>
  <si>
    <t>DS-RT</t>
  </si>
  <si>
    <t>IEEE/ACM International Symposium on Distributed Simulation and Real-Time Applications</t>
  </si>
  <si>
    <t>https://scholar.google.com.br/citations?hl=pt-BR&amp;view_op=list_hcore&amp;venue=JO6ZL899IMAJ.2018</t>
  </si>
  <si>
    <t>Applied Reconfigurable Computing</t>
  </si>
  <si>
    <t>https://scholar.google.com.br/citations?hl=pt-BR&amp;view_op=list_hcore&amp;venue=YfOo-Q2IJm8J.2020</t>
  </si>
  <si>
    <t>https://scholar.google.com.br/citations?hl=pt-BR&amp;view_op=list_hcore&amp;venue=cNDfl82p1FwJ.2020</t>
  </si>
  <si>
    <t>ICSPCEC</t>
  </si>
  <si>
    <t>International Conference on Signal Processing, Communication, Power and Embedded System</t>
  </si>
  <si>
    <t>https://scholar.google.com.br/citations?hl=pt-BR&amp;view_op=list_hcore&amp;venue=tS8iHNcH760J.2020</t>
  </si>
  <si>
    <t>https://scholar.google.com.br/citations?hl=pt-BR&amp;view_op=list_hcore&amp;venue=TUcR7-rKFsgJ.2018</t>
  </si>
  <si>
    <t>MESA</t>
  </si>
  <si>
    <t>IEEE/ASME International Conference on Mechatronic and Embedded Systems and Applications</t>
  </si>
  <si>
    <t>https://scholar.google.com.br/citations?hl=pt-BR&amp;view_op=list_hcore&amp;venue=th--Q8zFP48J.2020</t>
  </si>
  <si>
    <t>RCAR</t>
  </si>
  <si>
    <t>IEEE International Conference on Real-time Computing and Robotics</t>
  </si>
  <si>
    <t>https://scholar.google.com.br/citations?hl=pt-BR&amp;view_op=list_hcore&amp;venue=LLCdED38YXkJ.2020</t>
  </si>
  <si>
    <t>RTIS</t>
  </si>
  <si>
    <t>International Conference on Real Time Intelligent Systems</t>
  </si>
  <si>
    <t>https://scholar.google.com.br/citations?hl=pt-BR&amp;view_op=list_hcore&amp;venue=RIIA6l-Mlx0J.2020</t>
  </si>
  <si>
    <t>https://dblp.uni-trier.de/db/conf/euc/</t>
  </si>
  <si>
    <t>LCT-RTS</t>
  </si>
  <si>
    <t>ACM SIGPLAN/SIGBED Conference on Languages, Compilers, and Tools for Real-Time Systems</t>
  </si>
  <si>
    <t>https://dblp.uni-trier.de/db/conf/lctrts/</t>
  </si>
  <si>
    <t>LCTES</t>
  </si>
  <si>
    <t>https://dblp.uni-trier.de/db/conf/pdes/</t>
  </si>
  <si>
    <t>IEEE World Forum on Internet of Things</t>
  </si>
  <si>
    <t>https://dblp.uni-trier.de/db/conf/wf-iot/</t>
  </si>
  <si>
    <t>https://scholar.google.com/citations?hl=en&amp;view_op=list_hcore&amp;venue=w44irn7CFc0J.2018</t>
  </si>
  <si>
    <t>ICCV</t>
  </si>
  <si>
    <t>IEEE International Conference on Computer Vision</t>
  </si>
  <si>
    <t>https://scholar.google.com/citations?hl=en&amp;view_op=list_hcore&amp;venue=uDnJSYNMB80J.2018</t>
  </si>
  <si>
    <t>https://scholar.google.com/citations?hl=en&amp;view_op=list_hcore&amp;venue=cwIh2C-xo8kJ.2018</t>
  </si>
  <si>
    <t>ACM International Conference On Computer Graphics &amp; Interactive Techniques</t>
  </si>
  <si>
    <t>https://scholar.google.com/citations?hl=en&amp;vq=eng_computergraphics&amp;view_op=list_hcore&amp;venue=eq0ghEO5jswJ.2018</t>
  </si>
  <si>
    <t>SIGGRAPH Asia</t>
  </si>
  <si>
    <t>ACM International Conference On Computer Graphics &amp; Interactive Techniques / Asia</t>
  </si>
  <si>
    <t xml:space="preserve">IEEE International Conference on Acoustics, Speech and Signal Processing </t>
  </si>
  <si>
    <t>https://scholar.google.com.br/citations?hl=pt-BR&amp;view_op=search_venues&amp;vq=ICASSP&amp;btnG=</t>
  </si>
  <si>
    <t>IEEE VIS</t>
  </si>
  <si>
    <t>IEEE Visualization</t>
  </si>
  <si>
    <t>https://scholar.google.com.br/citations?hl=en&amp;view_op=list_hcore&amp;venue=VQADSo1msCoJ.2019</t>
  </si>
  <si>
    <t>IEEE Computer Society Conference on Computer Vision and Pattern Recognition Workshops</t>
  </si>
  <si>
    <t>https://scholar.google.com/citations?hl=en&amp;view_op=list_hcore&amp;venue=ihIDe6biV1gJ.2018</t>
  </si>
  <si>
    <t>PG</t>
  </si>
  <si>
    <t xml:space="preserve">Pacific Conference on Computer Graphics and Applications </t>
  </si>
  <si>
    <t>https://scholar.google.com/citations?hl=en&amp;vq=eng_computergraphics&amp;view_op=list_hcore&amp;venue=z2VSKEVsQl0J.2018</t>
  </si>
  <si>
    <t>EUROGRAPHICS</t>
  </si>
  <si>
    <t xml:space="preserve">European Association for Computer Graphics </t>
  </si>
  <si>
    <t>EuroVis</t>
  </si>
  <si>
    <t>EG/VGTC Conference on Visualization</t>
  </si>
  <si>
    <t>https://scholar.google.com/citations?hl=en&amp;view_op=list_hcore&amp;venue=T_DfB2ikUbwJ.2018</t>
  </si>
  <si>
    <t>Medical Image Computing and Computer Assisted Intervention</t>
  </si>
  <si>
    <t>https://scholar.google.com/citations?hl=en&amp;view_op=list_hcore&amp;venue=QLpioUFGyGMJ.2018</t>
  </si>
  <si>
    <t>https://scholar.google.com.br/citations?hl=pt-BR&amp;view_op=search_venues&amp;vq=icip&amp;btnG=</t>
  </si>
  <si>
    <t>Workshop on Applications of Computer Vision</t>
  </si>
  <si>
    <t>https://scholar.google.com/citations?hl=en&amp;view_op=list_hcore&amp;venue=uo-zCIky-iEJ.2018</t>
  </si>
  <si>
    <t>IEEE International Conference on Automatic Face &amp; Gesture Recognition</t>
  </si>
  <si>
    <t>https://scholar.google.com/citations?hl=en&amp;view_op=list_hcore&amp;venue=tOKomDtxujwJ.2018</t>
  </si>
  <si>
    <t>https://scholar.google.com/citations?hl=en&amp;view_op=list_hcore&amp;venue=HF-0Hiax7t8J.2018</t>
  </si>
  <si>
    <t>ACCV</t>
  </si>
  <si>
    <t>Asian Conference on Computer Vision</t>
  </si>
  <si>
    <t>https://scholar.google.com/citations?hl=en&amp;view_op=list_hcore&amp;venue=C6G2a_KY88AJ.2018</t>
  </si>
  <si>
    <t>https://scholar.google.com/citations?hl=en&amp;view_op=list_hcore&amp;venue=cVHg_1PrXPkJ.2018</t>
  </si>
  <si>
    <t>SCA</t>
  </si>
  <si>
    <t>ACM SIGGRAPH/Eurographics Symposium on Computer Animation</t>
  </si>
  <si>
    <t>https://scholar.google.com.br/citations?hl=en&amp;vq=eng_computergraphics&amp;view_op=list_hcore&amp;venue=sZKrImaY-W4J.2018</t>
  </si>
  <si>
    <t>IAPR International Conference on Biometrics</t>
  </si>
  <si>
    <t>https://scholar.google.com/citations?hl=en&amp;view_op=list_hcore&amp;venue=8NUNXaRdBmsJ.2018</t>
  </si>
  <si>
    <t>3DV</t>
  </si>
  <si>
    <t>International Conference on 3D Vision</t>
  </si>
  <si>
    <t>https://scholar.google.com/citations?hl=en&amp;view_op=list_hcore&amp;venue=A_JnpJHOiAEJ.2018</t>
  </si>
  <si>
    <t>IEEE International Conference on Biometrics: Theory Applications and Systems</t>
  </si>
  <si>
    <t>https://scholar.google.com/citations?hl=en&amp;view_op=list_hcore&amp;venue=8Bzim8iG_Y4J.2018</t>
  </si>
  <si>
    <t>ICCVW</t>
  </si>
  <si>
    <t>IEEE International Conference on Computer Vision Workshops (ICCVW)</t>
  </si>
  <si>
    <t>https://scholar.google.com.br/citations?hl=pt-BR&amp;view_op=list_hcore&amp;venue=1h7Rot6-J5EJ.2018</t>
  </si>
  <si>
    <t>https://scholar.google.com/citations?hl=en&amp;view_op=list_hcore&amp;venue=oJ-ZYoNCyCQJ.2018</t>
  </si>
  <si>
    <t>https://scholar.google.com/citations?hl=pt-BR&amp;vq=eng_computergraphics&amp;view_op=list_hcore&amp;venue=57ldUB5wCWkJ.2018</t>
  </si>
  <si>
    <t>https://scholar.google.com/citations?hl=en&amp;view_op=list_hcore&amp;venue=ljGmmUmHfUwJ.2018</t>
  </si>
  <si>
    <t>IEEE International Conference on Advanced Video and Signal-Based Surveillance</t>
  </si>
  <si>
    <t>https://scholar.google.com/citations?hl=en&amp;view_op=list_hcore&amp;venue=lj8GV_9F0b8J.2018</t>
  </si>
  <si>
    <t>ACM INTERNATIONAL CONFERENCE ON INTELLIGENT VIRTUAL AGENTS</t>
  </si>
  <si>
    <t>https://scholar.google.com.br/citations?hl=en&amp;view_op=list_hcore&amp;venue=Zy6oN9uVoooJ.2018</t>
  </si>
  <si>
    <t>https://scholar.google.com.br/citations?hl=pt-BR&amp;view_op=search_venues&amp;vq=iciap&amp;btnG=</t>
  </si>
  <si>
    <t>IEEE Symposium on Visual Analytics Science and Technology</t>
  </si>
  <si>
    <t>https://scholar.google.com/citations?hl=en&amp;view_op=search_venues&amp;vq=Visual+Analytics+Science&amp;btnG=</t>
  </si>
  <si>
    <t>https://scholar.google.com/citations?hl=en&amp;view_op=search_venues&amp;vq=International+Symposium+on+Visual+Computing&amp;btnG=</t>
  </si>
  <si>
    <t>SIBGRAPI Conference on Graphics, Patterns and Images</t>
  </si>
  <si>
    <t>https://scholar.google.com/citations?hl=en&amp;view_op=list_hcore&amp;venue=sPLlun2OWTwJ.2018</t>
  </si>
  <si>
    <t>https://scholar.google.com.br/citations?hl=pt-BR&amp;view_op=search_venues&amp;vq=mathematical+morphology&amp;btnG=</t>
  </si>
  <si>
    <t>ICDIP</t>
  </si>
  <si>
    <t>International Conference on Digital Image Processing</t>
  </si>
  <si>
    <t>https://scholar.google.com/citations?hl=en&amp;view_op=list_hcore&amp;venue=Zv1cF-tcqjsJ.2018</t>
  </si>
  <si>
    <t>https://scholar.google.com.br/citations?hl=en&amp;view_op=list_hcore&amp;venue=njP8jPzVX08J.2018</t>
  </si>
  <si>
    <t>https://scholar.google.com.br/citations?hl=pt-BR&amp;view_op=search_venues&amp;vq=ciarp&amp;btnG=</t>
  </si>
  <si>
    <t>https://scholar.google.com/citations?hl=en&amp;view_op=list_hcore&amp;venue=GsvS_jxfxCoJ.2018</t>
  </si>
  <si>
    <t>MVA</t>
  </si>
  <si>
    <t>IAPR International Conference on Machine Vision Applications</t>
  </si>
  <si>
    <t>https://scholar.google.com.br/citations?hl=pt-BR&amp;view_op=list_hcore&amp;venue=5GsHps3NV78J.2018</t>
  </si>
  <si>
    <t>DGCI</t>
  </si>
  <si>
    <t>Discrete Geometry for Computer Imagery</t>
  </si>
  <si>
    <t>https://scholar.google.com.br/citations?hl=pt-BR&amp;view_op=search_venues&amp;vq=dgci&amp;btnG=</t>
  </si>
  <si>
    <t>https://scholar.google.com.br/citations?hl=pt-BR&amp;view_op=search_venues&amp;vq=%22computer+graphics+international%22&amp;btnG=</t>
  </si>
  <si>
    <t>NeurIPS</t>
  </si>
  <si>
    <t>Neural Information Processing Systems</t>
  </si>
  <si>
    <t>https://scholar.google.com/citations?hl=en&amp;view_op=list_hcore&amp;venue=eqYFflc_uhEJ.2018</t>
  </si>
  <si>
    <t>https://scholar.google.com/citations?hl=en&amp;view_op=list_hcore&amp;venue=lQI3yXVEiigJ.2018</t>
  </si>
  <si>
    <t>https://scholar.google.com.br/citations?hl=en&amp;view_op=list_hcore&amp;venue=Z88T8Kej-9oJ.2019</t>
  </si>
  <si>
    <t>https://scholar.google.com/citations?hl=en&amp;view_op=list_hcore&amp;venue=PV9sQN5dnPsJ.2018</t>
  </si>
  <si>
    <t>https://scholar.google.com/citations?hl=en&amp;view_op=list_hcore&amp;venue=-kRh82SlERsJ.2018</t>
  </si>
  <si>
    <t>https://scholar.google.es/citations?hl=en&amp;vq=eng_artificialintelligence&amp;view_op=list_hcore&amp;venue=4HxsSu0PUdYJ.2018</t>
  </si>
  <si>
    <t>https://scholar.google.com.br/citations?hl=en&amp;vq=eng_signalprocessing&amp;view_op=list_hcore&amp;venue=ssdQ_yPkyjAJ.2018</t>
  </si>
  <si>
    <t>https://scholar.google.com/citations?hl=en&amp;view_op=list_hcore&amp;venue=QZ31s4XlF8EJ.2018</t>
  </si>
  <si>
    <t>ACM Multimedia</t>
  </si>
  <si>
    <t>ACM International Conference on Multimedia</t>
  </si>
  <si>
    <t>https://scholar.google.com/citations?hl=en&amp;view_op=list_hcore&amp;venue=vKMrxyJUpv0J.2018</t>
  </si>
  <si>
    <t>SGP</t>
  </si>
  <si>
    <t>Eurographics Symposium on Geometry Processing</t>
  </si>
  <si>
    <t>IEEE Vehicular Technology Conference</t>
  </si>
  <si>
    <t>https://scholar.google.com.br/citations?hl=en&amp;view_op=list_hcore&amp;venue=Y0aL1yWCdxkJ.2018</t>
  </si>
  <si>
    <t>Conference on Genetic and Evolutionary Computation</t>
  </si>
  <si>
    <t>https://scholar.google.com/citations?hl=en&amp;view_op=list_hcore&amp;venue=pQVER_ii7sMJ.2018</t>
  </si>
  <si>
    <t>International Joint Conference on Neural Networks</t>
  </si>
  <si>
    <t>https://scholar.google.com/citations?hl=en&amp;view_op=list_hcore&amp;venue=-t1SY74YlYcJ.2018</t>
  </si>
  <si>
    <t>IEEE Intelligent Transportation Systems Conference</t>
  </si>
  <si>
    <t>https://scholar.google.com/citations?hl=en&amp;view_op=list_hcore&amp;venue=F_tKvHBbkU8J.2018</t>
  </si>
  <si>
    <t>https://scholar.google.com.br/citations?hl=pt-BR&amp;view_op=search_venues&amp;vq=ACM+International+Conference+on+Multimedia+Retrieval&amp;btnG=</t>
  </si>
  <si>
    <t>https://scholar.google.com/citations?hl=en&amp;view_op=list_hcore&amp;venue=bZm_HiepFhUJ.2018</t>
  </si>
  <si>
    <t>https://scholar.google.com.br/citations?hl=pt-BR&amp;view_op=search_venues&amp;vq=IEEE+International+Conference+on+Multimedia+and+Expo&amp;btnG=</t>
  </si>
  <si>
    <t>https://scholar.google.com/citations?hl=en&amp;view_op=list_hcore&amp;venue=D2xvUFgEEJEJ.2018</t>
  </si>
  <si>
    <t>https://scholar.google.com/citations?hl=en&amp;vq=eng_computergraphics&amp;view_op=list_hcore&amp;venue=2aIQ9fxzrwkJ.2018</t>
  </si>
  <si>
    <t>European Symposium on Artificial Neural Networks</t>
  </si>
  <si>
    <t>https://scholar.google.com/citations?hl=en&amp;view_op=list_hcore&amp;venue=G2W6LcMuSNwJ.2018</t>
  </si>
  <si>
    <t>WHISPERS</t>
  </si>
  <si>
    <t>Workshop on Hyperspectral Image and Signal Processing: Evolution in Remote Sensing</t>
  </si>
  <si>
    <t>https://scholar.google.com/citations?hl=en&amp;view_op=list_hcore&amp;venue=b0D8OCdsIgcJ.2018</t>
  </si>
  <si>
    <t>https://scholar.google.com.br/citations?hl=pt-BR&amp;view_op=search_venues&amp;vq=multimedia+indexing&amp;btnG=</t>
  </si>
  <si>
    <t>https://scholar.google.com.br/citations?hl=en&amp;view_op=list_hcore&amp;venue=Kww2Vi43eP0J.2018</t>
  </si>
  <si>
    <t>ICLR</t>
  </si>
  <si>
    <t>International Conference on Learning Representations</t>
  </si>
  <si>
    <t>https://scholar.google.com.br/citations?hl=pt-BR&amp;view_op=search_venues&amp;vq=International+Conference+on+Learning+Representations&amp;btnG=</t>
  </si>
  <si>
    <t>https://scholar.google.com.br/citations?hl=en&amp;view_op=list_hcore&amp;venue=fFmocd0yDB0J.2019</t>
  </si>
  <si>
    <t>Machine Learning and Data Mining in Pattern Recognition</t>
  </si>
  <si>
    <t>https://scholar.google.com.br/citations?hl=pt-BR&amp;view_op=search_venues&amp;vq=Machine+Learning+and+Data+Mining+in+Pattern+Recognition&amp;btnG=</t>
  </si>
  <si>
    <t>IEEE IST</t>
  </si>
  <si>
    <t>IEEE International Workshop on Imaging Systems and Techniques</t>
  </si>
  <si>
    <t>https://scholar.google.com.br/citations?hl=pt-BR&amp;view_op=search_venues&amp;vq=Imaging+Systems+and+Techniques&amp;btnG=</t>
  </si>
  <si>
    <t>https://scholar.google.com.br/citations?hl=pt-BR&amp;view_op=search_venues&amp;vq=%22computer+Animation+and+virtual%22&amp;btnG=</t>
  </si>
  <si>
    <t>https://scholar.google.com.br/citations?hl=en&amp;vq=eng_computernetworkswirelesscommunication&amp;view_op=list_hcore&amp;venue=JMgzZsGYu14J.2018</t>
  </si>
  <si>
    <t>https://scholar.google.com.br/citations?hl=en&amp;vq=eng_computernetworkswirelesscommunication&amp;view_op=list_hcore&amp;venue=xd8jQKOw5ikJ.2018</t>
  </si>
  <si>
    <t>https://scholar.google.com.br/citations?hl=en&amp;vq=eng_computingsystems&amp;view_op=list_hcore&amp;venue=J92rQU3cJVwJ.2018</t>
  </si>
  <si>
    <t>https://scholar.google.com.br/citations?hl=en&amp;vq=eng_computernetworkswirelesscommunication&amp;view_op=list_hcore&amp;venue=RIbmH16J7yoJ.2018</t>
  </si>
  <si>
    <t>https://scholar.google.com.br/citations?hl=en&amp;vq=eng_computernetworkswirelesscommunication&amp;view_op=list_hcore&amp;venue=pZS97tVVUCgJ.2018</t>
  </si>
  <si>
    <t>https://scholar.google.com.br/citations?hl=en&amp;vq=eng_computernetworkswirelesscommunication&amp;view_op=list_hcore&amp;venue=CYo1GjC2fW8J.2018</t>
  </si>
  <si>
    <t>MobiSys</t>
  </si>
  <si>
    <t>Annual International Conference on Mobile Systems, Applications, and Services</t>
  </si>
  <si>
    <t>https://scholar.google.com/citations?hl=en&amp;view_op=list_hcore&amp;venue=0mhk3_x__KIJ.2018</t>
  </si>
  <si>
    <t>https://scholar.google.com.br/citations?hl=en&amp;view_op=list_hcore&amp;venue=Yh-Vy_bHNYMJ.2018</t>
  </si>
  <si>
    <t>https://scholar.google.com.br/citations?hl=en&amp;view_op=list_hcore&amp;venue=CiHz08Ia1nsJ.2018</t>
  </si>
  <si>
    <t>https://scholar.google.com.br/citations?hl=en&amp;view_op=list_hcore&amp;venue=pj0-opwdew8J.2018</t>
  </si>
  <si>
    <t>https://scholar.google.com/citations?hl=en&amp;view_op=list_hcore&amp;venue=z284emjTz40J.2018</t>
  </si>
  <si>
    <t>https://scholar.google.com.br/citations?hl=pt-BR&amp;view_op=list_hcore&amp;venue=N4n8k92Mc7cJ.2018</t>
  </si>
  <si>
    <t>https://scholar.google.com.br/citations?hl=en&amp;view_op=list_hcore&amp;venue=dHfyvFtXJEcJ.2018</t>
  </si>
  <si>
    <t>https://scholar.google.com.br/citations?hl=en&amp;view_op=list_hcore&amp;venue=_XEusYoPeXgJ.2018</t>
  </si>
  <si>
    <t>https://scholar.google.com.br/citations?hl=en&amp;view_op=list_hcore&amp;venue=wWkh60cbs_oJ.2018</t>
  </si>
  <si>
    <t>ICNP</t>
  </si>
  <si>
    <t>International Conference on Network Protocols</t>
  </si>
  <si>
    <t>https://scholar.google.com.br/citations?hl=en&amp;view_op=list_hcore&amp;venue=uhUmlwFgx3kJ.2018</t>
  </si>
  <si>
    <t>PODC</t>
  </si>
  <si>
    <t>ACM Symposium on Principles of Distributed Computing</t>
  </si>
  <si>
    <t>https://scholar.google.com.br/citations?hl=en&amp;view_op=list_hcore&amp;venue=fcioh0Px5iMJ.2018</t>
  </si>
  <si>
    <t>https://scholar.google.com.br/citations?hl=en&amp;view_op=list_hcore&amp;venue=Okb8aqGJjLgJ.2018</t>
  </si>
  <si>
    <t>Networking</t>
  </si>
  <si>
    <t>https://scholar.google.com.br/citations?hl=en&amp;view_op=list_hcore&amp;venue=OK3y4P6IJ9EJ.2018</t>
  </si>
  <si>
    <t>?</t>
  </si>
  <si>
    <t>SOSR</t>
  </si>
  <si>
    <t>Symposium on Software Defined Networking Research</t>
  </si>
  <si>
    <t>https://scholar.google.com.br/citations?hl=en&amp;view_op=list_hcore&amp;venue=6bNaPEI_A6UJ.2020</t>
  </si>
  <si>
    <t>USENIX Security</t>
  </si>
  <si>
    <t>USENIX Security Symposium</t>
  </si>
  <si>
    <t>https://scholar.google.com.br/citations?hl=en&amp;view_op=list_hcore&amp;venue=HSHJIaLyN9IJ.2019</t>
  </si>
  <si>
    <t>ACM Symposium on Computer and Communications Security</t>
  </si>
  <si>
    <t>https://scholar.google.com/citations?hl=en&amp;view_op=list_hcore&amp;venue=Pg42P_rbavwJ.2018</t>
  </si>
  <si>
    <t>https://scholar.google.com/citations?hl=en&amp;view_op=list_hcore&amp;venue=yChjqNpzfk0J.2018</t>
  </si>
  <si>
    <t>S&amp;P</t>
  </si>
  <si>
    <t>IEEE Symposium on Security and Privacy</t>
  </si>
  <si>
    <t>https://scholar.google.com.br/citations?hl=en&amp;view_op=list_hcore&amp;venue=cyrroHz3a0YJ.2019</t>
  </si>
  <si>
    <t>NDSS</t>
  </si>
  <si>
    <t>Network and Distributed System Security Symposium</t>
  </si>
  <si>
    <t>https://scholar.google.com.br/citations?hl=en&amp;view_op=list_hcore&amp;venue=q2FcImd5qbgJ.2019</t>
  </si>
  <si>
    <t>https://scholar.google.com.br/citations?hl=en&amp;view_op=list_hcore&amp;venue=K6EHRjh8bWIJ.2018</t>
  </si>
  <si>
    <t>https://scholar.google.com/citations?hl=en&amp;view_op=list_hcore&amp;venue=Y0aL1yWCdxkJ.2018</t>
  </si>
  <si>
    <t>ATC</t>
  </si>
  <si>
    <t>USENIX Annual Technical Conference</t>
  </si>
  <si>
    <t>https://scholar.google.com/citations?hl=en&amp;view_op=list_hcore&amp;venue=UoM6MOnWKE8J.2018</t>
  </si>
  <si>
    <t>SOSP</t>
  </si>
  <si>
    <t>ACM Symposium on Operating Systems Principles</t>
  </si>
  <si>
    <t>https://scholar.google.com.br/citations?hl=en&amp;view_op=list_hcore&amp;venue=5kHS1fwSbtkJ.2020</t>
  </si>
  <si>
    <t>https://scholar.google.com/citations?hl=en&amp;view_op=list_hcore&amp;venue=8LhhnAnPYO8J.2018</t>
  </si>
  <si>
    <t>IEEE ITSC Intelligent Transportation Systems Conference</t>
  </si>
  <si>
    <t>https://scholar.google.com/citations?hl=en&amp;view_op=list_hcore&amp;venue=F_tKvHBbkU8J.2020</t>
  </si>
  <si>
    <t>https://scholar.google.com.br/citations?hl=en&amp;view_op=list_hcore&amp;venue=Cge5_JoKLicJ.2020</t>
  </si>
  <si>
    <t>https://scholar.google.com.br/citations?hl=en&amp;view_op=list_hcore&amp;venue=o1durVJyeP4J.2018</t>
  </si>
  <si>
    <t>https://scholar.google.com.br/citations?hl=en&amp;view_op=list_hcore&amp;venue=MVYbyyKMpToJ.2018</t>
  </si>
  <si>
    <t>https://scholar.google.com.br/citations?hl=en&amp;view_op=list_hcore&amp;venue=ioohKoS5imcJ.2018</t>
  </si>
  <si>
    <t>https://scholar.google.com.br/citations?hl=en&amp;view_op=list_hcore&amp;venue=gauoYMg7lZMJ.2018</t>
  </si>
  <si>
    <t>https://scholar.google.com/citations?hl=en&amp;view_op=list_hcore&amp;venue=HbOjoTJcHB8J.2018</t>
  </si>
  <si>
    <t>https://scholar.google.com.br/citations?hl=en&amp;view_op=list_hcore&amp;venue=iRTf4ImdsEQJ.2018</t>
  </si>
  <si>
    <t>https://scholar.google.com.br/citations?hl=en&amp;view_op=list_hcore&amp;venue=siTGI384Pw4J.2018</t>
  </si>
  <si>
    <t>https://scholar.google.com.br/citations?hl=en&amp;view_op=list_hcore&amp;venue=NA4iP0Rm0toJ.2018</t>
  </si>
  <si>
    <t>https://scholar.google.com.br/citations?hl=en&amp;view_op=list_hcore&amp;venue=XCtaep9ccdcJ.2018</t>
  </si>
  <si>
    <t>https://scholar.google.com.br/citations?hl=en&amp;view_op=list_hcore&amp;venue=jMvtRj_Yg6wJ.2018</t>
  </si>
  <si>
    <t>OSDI</t>
  </si>
  <si>
    <t>USENIX Symposium on Operating Systems Design and Implementation</t>
  </si>
  <si>
    <t>WoWMoM</t>
  </si>
  <si>
    <t>https://scholar.google.com.br/citations?hl=en&amp;view_op=list_hcore&amp;venue=N_9FWgf0qxMJ.2018</t>
  </si>
  <si>
    <t>SECON</t>
  </si>
  <si>
    <t>IEEE International Conference on Sensing, Communication and Networking</t>
  </si>
  <si>
    <t>https://scholar.google.com/citations?hl=en&amp;view_op=list_hcore&amp;venue=Vhi1mcaJdXEJ.2018</t>
  </si>
  <si>
    <t>https://scholar.google.com.br/citations?hl=en&amp;view_op=list_hcore&amp;venue=HQxJsAeEXPkJ.2018</t>
  </si>
  <si>
    <t>https://scholar.google.com.br/citations?hl=en&amp;view_op=list_hcore&amp;venue=gfQf5PWmKzsJ.2018</t>
  </si>
  <si>
    <t>https://scholar.google.com.br/citations?hl=en&amp;view_op=list_hcore&amp;venue=c5DgYVXCJpsJ.2018</t>
  </si>
  <si>
    <t>https://scholar.google.com.br/citations?hl=pt-BR&amp;view_op=list_hcore&amp;venue=aNZ314HiR4YJ.2018</t>
  </si>
  <si>
    <t>https://scholar.google.com.br/citations?hl=en&amp;view_op=list_hcore&amp;venue=5kCTeczPjmgJ.2018</t>
  </si>
  <si>
    <t>SmartGridComm</t>
  </si>
  <si>
    <t>https://scholar.google.com.br/citations?hl=pt-BR&amp;view_op=list_hcore&amp;venue=SnwrCbSeOf8J.2018</t>
  </si>
  <si>
    <t>ISGT</t>
  </si>
  <si>
    <t>IEEE PES Innovative Smart Grid Technologies</t>
  </si>
  <si>
    <t>https://scholar.google.com.br/citations?hl=pt-BR&amp;view_op=list_hcore&amp;venue=9nASlar3rTYJ.2018</t>
  </si>
  <si>
    <t>https://scholar.google.com.br/citations?hl=en&amp;view_op=list_hcore&amp;venue=bKvDXIhWqbQJ.2018</t>
  </si>
  <si>
    <t>https://scholar.google.com.br/citations?hl=pt-BR&amp;view_op=list_hcore&amp;venue=IzHKIKh35TsJ.2018</t>
  </si>
  <si>
    <t>https://scholar.google.com.br/citations?hl=en&amp;view_op=list_hcore&amp;venue=3JhZE-FkS7sJ.2018</t>
  </si>
  <si>
    <t>https://scholar.google.com.br/citations?hl=pt-BR&amp;view_op=list_hcore&amp;venue=5Xez39t0_4UJ.2018</t>
  </si>
  <si>
    <t>https://scholar.google.com.br/citations?hl=en&amp;view_op=list_hcore&amp;venue=D9Ngi53e3FUJ.2018</t>
  </si>
  <si>
    <t>DISC</t>
  </si>
  <si>
    <t>International Symposium on Distributed Computing</t>
  </si>
  <si>
    <t>https://scholar.google.com.br/citations?hl=en&amp;view_op=list_hcore&amp;venue=I09_2V3FJhwJ.2018</t>
  </si>
  <si>
    <t>https://scholar.google.com.br/citations?hl=en&amp;view_op=list_hcore&amp;venue=zHwZkHkaM2EJ.2018</t>
  </si>
  <si>
    <t>WiMob</t>
  </si>
  <si>
    <t>https://scholar.google.com.br/citations?hl=en&amp;view_op=list_hcore&amp;venue=93OvvQzt_GcJ.2018</t>
  </si>
  <si>
    <t>https://scholar.google.com.br/citations?hl=en&amp;view_op=list_hcore&amp;venue=DstJkgVOjywJ.2018</t>
  </si>
  <si>
    <t>https://scholar.google.com.br/citations?hl=en&amp;view_op=list_hcore&amp;venue=6Xfj7Y8gKaYJ.2018</t>
  </si>
  <si>
    <t>https://scholar.google.com.br/citations?hl=en&amp;view_op=list_hcore&amp;venue=gCzn4TRHFGQJ.2018</t>
  </si>
  <si>
    <t>WiOpt</t>
  </si>
  <si>
    <t>International Symposium on Modeling and Optimization in Mobile, Ad Hoc, and Wireless Networks</t>
  </si>
  <si>
    <t>https://scholar.google.com/citations?hl=en&amp;view_op=list_hcore&amp;venue=wMDBJK-Wc7wJ.2018</t>
  </si>
  <si>
    <t>IEEE International Conference on Mobile Adhoc and Sensor Systems</t>
  </si>
  <si>
    <t>https://scholar.google.com.br/citations?hl=en&amp;view_op=list_hcore&amp;venue=R3zPuj5YyygJ.2020</t>
  </si>
  <si>
    <t>FiCloud</t>
  </si>
  <si>
    <t>International Conference on Future Internet of Things and Cloud</t>
  </si>
  <si>
    <t>https://scholar.google.com.br/citations?hl=pt-BR&amp;view_op=list_hcore&amp;venue=qesER2iEwMYJ.2018</t>
  </si>
  <si>
    <t>https://scholar.google.com.br/citations?hl=pt-BR&amp;view_op=list_hcore&amp;venue=VJAOLvT5n6QJ.2018</t>
  </si>
  <si>
    <t>EuCNC</t>
  </si>
  <si>
    <t>European Conference on Networks and Communications</t>
  </si>
  <si>
    <t>https://scholar.google.com/citations?hl=en&amp;view_op=list_hcore&amp;venue=NcKP0_ggixQJ.2018</t>
  </si>
  <si>
    <t>DySPAN</t>
  </si>
  <si>
    <t>IEEE Symposium on New Frontiers in Dynamic Spectrum Access Networks</t>
  </si>
  <si>
    <t>https://scholar.google.com/citations?hl=en&amp;view_op=list_hcore&amp;venue=0y6OyqiGt8MJ.2018</t>
  </si>
  <si>
    <t>ICDCN</t>
  </si>
  <si>
    <t>International Conference of Distributed Computing and Networking</t>
  </si>
  <si>
    <t>https://scholar.google.com.br/citations?hl=en&amp;view_op=list_hcore&amp;venue=oN_amMDfj5sJ.2018</t>
  </si>
  <si>
    <t>https://scholar.google.com.br/citations?hl=en&amp;view_op=list_hcore&amp;venue=Uiuel-P8PcAJ.2018</t>
  </si>
  <si>
    <t>https://scholar.google.com.br/citations?hl=pt-BR&amp;view_op=list_hcore&amp;venue=7xyzSiMupzgJ.2018</t>
  </si>
  <si>
    <t>WCNCW</t>
  </si>
  <si>
    <t>IEEE Wireless Communications and Networking Conference Workshops</t>
  </si>
  <si>
    <t>https://scholar.google.com.br/citations?hl=pt-BR&amp;view_op=list_hcore&amp;venue=fw0ZUVavHdsJ.2018</t>
  </si>
  <si>
    <t>ANCS</t>
  </si>
  <si>
    <t>ACM/IEEE Symposium on Architectures for Networking and Communications Systems</t>
  </si>
  <si>
    <t>https://scholar.google.com/citations?hl=en&amp;view_op=list_hcore&amp;venue=UTrnhRMd-UwJ.2018</t>
  </si>
  <si>
    <t>https://scholar.google.com/citations?hl=en&amp;view_op=list_hcore&amp;venue=xDYTOighRhwJ.2020</t>
  </si>
  <si>
    <t>https://scholar.google.com.br/citations?hl=en&amp;view_op=list_hcore&amp;venue=Aa95SbKqOawJ.2018</t>
  </si>
  <si>
    <t>NetSoft</t>
  </si>
  <si>
    <t>IEEE NetSoft Conference and Workshops</t>
  </si>
  <si>
    <t>https://scholar.google.com.br/citations?hl=pt-BR&amp;view_op=list_hcore&amp;venue=7uhFfRV5cUQJ.2018</t>
  </si>
  <si>
    <t>https://scholar.google.com.br/citations?hl=pt-BR&amp;view_op=list_hcore&amp;venue=rka9NFgR5UwJ.2018</t>
  </si>
  <si>
    <t>https://scholar.google.com.br/citations?hl=pt-BR&amp;view_op=list_hcore&amp;venue=GP6qZ_5mtGoJ.2018</t>
  </si>
  <si>
    <t>ISGT-Europe</t>
  </si>
  <si>
    <t>IEEE PES Innovative Smart Grid Technologies Conference Europe</t>
  </si>
  <si>
    <t>https://scholar.google.com.br/citations?hl=pt-BR&amp;view_op=list_hcore&amp;venue=TE_bdym1DdkJ.2018</t>
  </si>
  <si>
    <t>https://scholar.google.com/citations?hl=en&amp;view_op=list_hcore&amp;venue=uURokrZhh7IJ.2018</t>
  </si>
  <si>
    <t>https://scholar.google.com.br/citations?hl=pt-BR&amp;view_op=list_hcore&amp;venue=9giM3hX1gGgJ.2018</t>
  </si>
  <si>
    <t>https://scholar.google.com.br/citations?hl=pt-BR&amp;view_op=list_hcore&amp;venue=AFnewPQslXYJ.2018</t>
  </si>
  <si>
    <t>https://scholar.google.com.br/citations?hl=en&amp;view_op=list_hcore&amp;venue=LM8Vo6K7w5QJ.2018</t>
  </si>
  <si>
    <t>https://scholar.google.com.br/citations?hl=pt-BR&amp;view_op=list_hcore&amp;venue=lTgG3I7tby0J.2018</t>
  </si>
  <si>
    <t>https://scholar.google.com.br/citations?hl=pt-BR&amp;view_op=list_hcore&amp;venue=Lpmu4bd0tVsJ.2018</t>
  </si>
  <si>
    <t>https://scholar.google.com.br/citations?hl=pt-BR&amp;view_op=list_hcore&amp;venue=oIYBlZ0nCUMJ.2018</t>
  </si>
  <si>
    <t>APNOMS</t>
  </si>
  <si>
    <t>Asia-Pacific Network Operations and Management Symposium</t>
  </si>
  <si>
    <t>https://scholar.google.com.br/citations?hl=pt-BR&amp;view_op=list_hcore&amp;venue=qQ2ERzcoym0J.2018</t>
  </si>
  <si>
    <t>CAMAD</t>
  </si>
  <si>
    <t>IEEE International Workshop on Computer Aided Modeling and Design of Communication Links and Networks</t>
  </si>
  <si>
    <t>https://scholar.google.com/citations?hl=en&amp;view_op=list_hcore&amp;venue=zsyVgJ0BX8MJ.2018</t>
  </si>
  <si>
    <t>https://scholar.google.com.br/citations?hl=en&amp;view_op=list_hcore&amp;venue=0luRC0xHVlsJ.2018</t>
  </si>
  <si>
    <t>ISADS</t>
  </si>
  <si>
    <t>International Symposium on Autonomous Decentralized Systems</t>
  </si>
  <si>
    <t>https://scholar.google.com.br/citations?hl=en&amp;view_op=list_hcore&amp;venue=YCgyKdTzKvEJ.2018</t>
  </si>
  <si>
    <t>MobiQuitous</t>
  </si>
  <si>
    <t>https://scholar.google.com.br/citations?hl=pt-BR&amp;view_op=list_hcore&amp;venue=bnWlRT9hHXEJ.2018</t>
  </si>
  <si>
    <t>SoftCOM</t>
  </si>
  <si>
    <t>https://scholar.google.com.br/citations?hl=pt-BR&amp;view_op=list_hcore&amp;venue=TezauzTurFkJ.2018</t>
  </si>
  <si>
    <t>https://scholar.google.com.br/citations?hl=pt-BR&amp;view_op=list_hcore&amp;venue=neOh05x3OTMJ.2018</t>
  </si>
  <si>
    <t>https://scholar.google.com.br/citations?hl=pt-BR&amp;view_op=list_hcore&amp;venue=3DkJ6LWnfgoJ.2018</t>
  </si>
  <si>
    <t>IEEE Conference on Network Function Virtualization and Software Defined Networks</t>
  </si>
  <si>
    <t>https://scholar.google.com.br/citations?hl=pt-BR&amp;view_op=list_hcore&amp;venue=zpJLXcw8LuIJ.2018</t>
  </si>
  <si>
    <t>Med-Hoc-Net</t>
  </si>
  <si>
    <t>Mediterranean Ad Hoc Networking Workshop</t>
  </si>
  <si>
    <t>https://scholar.google.com.br/citations?hl=pt-BR&amp;view_op=list_hcore&amp;venue=e2_ouznJbtwJ.2018</t>
  </si>
  <si>
    <t>https://scholar.google.com.br/citations?hl=pt-BR&amp;view_op=list_hcore&amp;venue=FdZkG8N8jboJ.2018</t>
  </si>
  <si>
    <t>https://scholar.google.com.br/citations?hl=pt-BR&amp;view_op=list_hcore&amp;venue=mg4DaRHarRgJ.2018</t>
  </si>
  <si>
    <t>https://scholar.google.com.br/citations?hl=pt-BR&amp;view_op=list_hcore&amp;venue=lLra8Kr5rZcJ.2018</t>
  </si>
  <si>
    <t>CSCN</t>
  </si>
  <si>
    <t>IEEE Conference on Standards for Communications and Networking</t>
  </si>
  <si>
    <t>https://scholar.google.com/citations?hl=en&amp;view_op=list_hcore&amp;venue=fRCvy-8x_TkJ.2018</t>
  </si>
  <si>
    <t>IEEE Latin-American Conference on Communications</t>
  </si>
  <si>
    <t>https://scholar.google.com.br/citations?hl=pt-BR&amp;view_op=list_hcore&amp;venue=P88GQzAGJOcJ.2018</t>
  </si>
  <si>
    <t>International Conference on Ad-Hoc Networks and Wireless</t>
  </si>
  <si>
    <t>Não consegui encontrar o h5 da conferência principal, apenas o h5 dos workshops (entrada WCNCW)</t>
  </si>
  <si>
    <t>PE-WASUM</t>
  </si>
  <si>
    <t>ACM International Symposium on Performance Evaluation of Wireless Ad Hoc, Sensor, and Ubiquitous Networks</t>
  </si>
  <si>
    <t>ManSDN/NFV</t>
  </si>
  <si>
    <t>LANMAN</t>
  </si>
  <si>
    <t>IEEE International Conference on Mobile Ad-Hoc and Smart Systems</t>
  </si>
  <si>
    <t>SBrT</t>
  </si>
  <si>
    <t>Simpósio Brasileiro de Telecomunicações e Processamento de Sinais</t>
  </si>
  <si>
    <t>https://scholar.google.com/citations?hl=en&amp;view_op=list_hcore&amp;venue=Z88T8Kej-9oJ.2020</t>
  </si>
  <si>
    <t>https://scholar.google.com/citations?hl=en&amp;view_op=list_hcore&amp;venue=QZ31s4XlF8EJ.2020</t>
  </si>
  <si>
    <t>RSS</t>
  </si>
  <si>
    <t>Robotics: Science and Systems</t>
  </si>
  <si>
    <t>https://scholar.google.com/citations?hl=en&amp;view_op=list_hcore&amp;venue=jl5pTV5Sh0AJ.2020</t>
  </si>
  <si>
    <t>HRI</t>
  </si>
  <si>
    <t>ACM/IEEE International Conference on Human Robot Interaction</t>
  </si>
  <si>
    <t>https://scholar.google.com/citations?hl=en&amp;view_op=list_hcore&amp;venue=D6qw-B7Hrk0J.2020</t>
  </si>
  <si>
    <t>CoRL</t>
  </si>
  <si>
    <t>Conference on Robot Learning</t>
  </si>
  <si>
    <t>https://scholar.google.com/citations?hl=en&amp;view_op=list_hcore&amp;venue=kWi-GfxuXpEJ.2020</t>
  </si>
  <si>
    <t>Humanoids</t>
  </si>
  <si>
    <t>IEEE RAS International Conference on Humanoid Robot</t>
  </si>
  <si>
    <t>https://scholar.google.com/citations?hl=en&amp;view_op=list_hcore&amp;venue=cvOaqvRdsZQJ.2020</t>
  </si>
  <si>
    <t>https://scholar.google.com/citations?hl=en&amp;view_op=list_hcore&amp;venue=P7JmirE2spgJ.2020</t>
  </si>
  <si>
    <t>RO-MAN</t>
  </si>
  <si>
    <t>IEEE International Symposium on Robot and Human Interactive Communication</t>
  </si>
  <si>
    <t>https://scholar.google.com/citations?hl=en&amp;view_op=list_hcore&amp;venue=yHxohuW00noJ.2020</t>
  </si>
  <si>
    <t>https://scholar.google.com/citations?hl=en&amp;view_op=list_hcore&amp;venue=iJOqTiZA0TgJ.2020</t>
  </si>
  <si>
    <t>ICAR*</t>
  </si>
  <si>
    <t>https://scholar.google.com/citations?hl=en&amp;view_op=list_hcore&amp;venue=QTCI2sX39qUJ.2020</t>
  </si>
  <si>
    <t>ISRR*</t>
  </si>
  <si>
    <t>International Symposium on Robotics Research</t>
  </si>
  <si>
    <t>https://scholar.google.com/citations?hl=en&amp;view_op=list_hcore&amp;venue=eX0qXcAClWoJ.2020</t>
  </si>
  <si>
    <t>ICORR*</t>
  </si>
  <si>
    <t>IEEE International Conference on Rehabilitation Robotics</t>
  </si>
  <si>
    <t>https://scholar.google.com/citations?hl=en&amp;view_op=list_hcore&amp;venue=w8zcF49hRv8J.2020</t>
  </si>
  <si>
    <t>ECMR*</t>
  </si>
  <si>
    <t>European Conference on Mobile Robots</t>
  </si>
  <si>
    <t>https://scholar.google.com/citations?hl=en&amp;view_op=list_hcore&amp;venue=E-Dt3HzExLsJ.2020</t>
  </si>
  <si>
    <t>SSRR</t>
  </si>
  <si>
    <t>International Symposium on Safety, Security and Rescue Robotics</t>
  </si>
  <si>
    <t>https://scholar.google.com/citations?hl=en&amp;view_op=list_hcore&amp;venue=in-bLtIuMBYJ.2020</t>
  </si>
  <si>
    <t>ROBIO</t>
  </si>
  <si>
    <t>IEEE International Conference on Robotics and Biomimetics</t>
  </si>
  <si>
    <t>https://scholar.google.com/citations?hl=en&amp;view_op=list_hcore&amp;venue=bcF8fuNAeawJ.2020</t>
  </si>
  <si>
    <t>BioRob*</t>
  </si>
  <si>
    <t>IEEE RAS &amp; EMBS International Conference on Biomedical Robotics and Biomechatronics</t>
  </si>
  <si>
    <t>https://scholar.google.com/citations?hl=en&amp;view_op=list_hcore&amp;venue=mll7l7Q4NakJ.2020</t>
  </si>
  <si>
    <t>WAFR*</t>
  </si>
  <si>
    <t>Workshop on the Algorithmic Foundations of Robotics</t>
  </si>
  <si>
    <t>https://scholar.google.com/citations?hl=en&amp;view_op=list_hcore&amp;venue=k40T75326PgJ.2020</t>
  </si>
  <si>
    <t>RoboCup - Robocup International Symposium</t>
  </si>
  <si>
    <t>https://scholar.google.com/citations?hl=en&amp;view_op=list_hcore&amp;venue=KMzWyzFUAoQJ.2020</t>
  </si>
  <si>
    <t>ISER*</t>
  </si>
  <si>
    <t>https://scholar.google.com/citations?hl=en&amp;view_op=list_hcore&amp;venue=ke1g66ZJCWoJ.2020</t>
  </si>
  <si>
    <t>SBR/LARS</t>
  </si>
  <si>
    <t>Latin American Robotics Symposium</t>
  </si>
  <si>
    <t>https://scholar.google.com/citations?hl=en&amp;view_op=list_hcore&amp;venue=JUcVqGhEKJsJ.2020</t>
  </si>
  <si>
    <t>ACC</t>
  </si>
  <si>
    <t>American Control Conference</t>
  </si>
  <si>
    <t>https://scholar.google.com/citations?hl=en&amp;view_op=list_hcore&amp;venue=tgZe9odv5lUJ.2020</t>
  </si>
  <si>
    <t>https://scholar.google.com/citations?hl=en&amp;view_op=list_hcore&amp;venue=1dJxuEkKfpEJ.2020</t>
  </si>
  <si>
    <t>https://scholar.google.com/citations?hl=en&amp;view_op=list_hcore&amp;venue=oGDa9y0RKw8J.2020</t>
  </si>
  <si>
    <t>https://scholar.google.com/citations?hl=en&amp;view_op=list_hcore&amp;venue=uyMX5yvvkyoJ.2020</t>
  </si>
  <si>
    <t>https://scholar.google.com/citations?hl=en&amp;view_op=list_hcore&amp;venue=j7dS7aP2eTEJ.2020</t>
  </si>
  <si>
    <t>https://scholar.google.com/citations?hl=en&amp;view_op=list_hcore&amp;venue=eAoE06EVARcJ.2020</t>
  </si>
  <si>
    <t>https://scholar.google.com/citations?hl=en&amp;view_op=list_hcore&amp;venue=IRnEg4i2mP4J.2020</t>
  </si>
  <si>
    <t>https://scholar.google.com/citations?hl=en&amp;view_op=list_hcore&amp;venue=nvZjR0BHub4J.2020</t>
  </si>
  <si>
    <t>https://scholar.google.com/citations?hl=en&amp;view_op=list_hcore&amp;venue=GCpVsRNBp7cJ.2020</t>
  </si>
  <si>
    <t>MVA*</t>
  </si>
  <si>
    <t>International Conference on Machine Vision Applications</t>
  </si>
  <si>
    <t>https://scholar.google.com/citations?hl=en&amp;view_op=list_hcore&amp;venue=5GsHps3NV78J.2020</t>
  </si>
  <si>
    <t>ICMA</t>
  </si>
  <si>
    <t>IEEE International Conference on Mechatronics and Automation</t>
  </si>
  <si>
    <t>https://scholar.google.com/citations?hl=en&amp;view_op=list_hcore&amp;venue=jeVF5tN0JH4J.2020</t>
  </si>
  <si>
    <t>AIM</t>
  </si>
  <si>
    <t>IEEE/ASME International Conference on Advanced Intelligent Mechatronics</t>
  </si>
  <si>
    <t>https://scholar.google.com/citations?hl=en&amp;view_op=list_hcore&amp;venue=vvYv-MYYfD0J.2020</t>
  </si>
  <si>
    <t>MMAR</t>
  </si>
  <si>
    <t>International Conference on Methods and Models in Automation and Robotics</t>
  </si>
  <si>
    <t>https://scholar.google.com/citations?hl=en&amp;view_op=list_hcore&amp;venue=YI-90EccamMJ.2020</t>
  </si>
  <si>
    <t>https://scholar.google.com/citations?hl=en&amp;view_op=list_hcore&amp;venue=heT8SiJEaWsJ.2020</t>
  </si>
  <si>
    <t>CRV</t>
  </si>
  <si>
    <t>Canadian Conference on Computer and Robot Vision</t>
  </si>
  <si>
    <t>https://scholar.google.com/citations?hl=en&amp;view_op=list_hcore&amp;venue=F-LopY4ucWMJ.2020</t>
  </si>
  <si>
    <t>HAPTICS*</t>
  </si>
  <si>
    <t xml:space="preserve">IEEE Haptics Symposium </t>
  </si>
  <si>
    <t>https://scholar.google.com/citations?hl=en&amp;view_op=list_hcore&amp;venue=OgfFzjmc8_gJ.2020</t>
  </si>
  <si>
    <t>https://scholar.google.com/citations?hl=en&amp;view_op=list_hcore&amp;venue=hedKTD2-CbAJ.2020</t>
  </si>
  <si>
    <t>ICCAR</t>
  </si>
  <si>
    <t>International Conference on Control, Automation and Robotics</t>
  </si>
  <si>
    <t>https://scholar.google.com/citations?hl=en&amp;view_op=list_hcore&amp;venue=VHOTIHOcvjcJ.2020</t>
  </si>
  <si>
    <t>ICIRA</t>
  </si>
  <si>
    <t>International Conference on Intelligent Robotics and Applications</t>
  </si>
  <si>
    <t>https://scholar.google.com/citations?hl=en&amp;view_op=list_hcore&amp;venue=zwftP5XWkKIJ.2020</t>
  </si>
  <si>
    <t>ICARA*</t>
  </si>
  <si>
    <t>International Conference on Automation, Robotics and Applications</t>
  </si>
  <si>
    <t>https://scholar.google.com/citations?hl=en&amp;view_op=list_hcore&amp;venue=Pbr-U05RvUoJ.2020</t>
  </si>
  <si>
    <t>ICARCV</t>
  </si>
  <si>
    <t>https://scholar.google.com/citations?hl=en&amp;view_op=list_hcore&amp;venue=b6kmtyBpsCcJ.2020</t>
  </si>
  <si>
    <t>MFI*</t>
  </si>
  <si>
    <t>IEEE International Conference on Multisensor Fusion and Integration for Intelligent Systems</t>
  </si>
  <si>
    <t>https://scholar.google.com/citations?hl=en&amp;view_op=list_hcore&amp;venue=MbouORldYUUJ.2020</t>
  </si>
  <si>
    <t>SII</t>
  </si>
  <si>
    <t>IEEE/SICE International Symposium on System Integration</t>
  </si>
  <si>
    <t>https://scholar.google.com/citations?hl=en&amp;view_op=list_hcore&amp;venue=fNsEtErxZiIJ.2020</t>
  </si>
  <si>
    <t>IRC</t>
  </si>
  <si>
    <t>IEEE International Conference on Robotic Computing</t>
  </si>
  <si>
    <t>https://scholar.google.com/citations?hl=en&amp;view_op=list_hcore&amp;venue=X5iIIuMWM_8J.2020</t>
  </si>
  <si>
    <t>UR</t>
  </si>
  <si>
    <t>International Conference on Ubiquitous Robots and Ambient Intelligence</t>
  </si>
  <si>
    <t>https://scholar.google.com/citations?hl=en&amp;view_op=list_hcore&amp;venue=cTek1BiAOX4J.2020</t>
  </si>
  <si>
    <t>ROBOT*</t>
  </si>
  <si>
    <t>Iberian Robotics Conference</t>
  </si>
  <si>
    <t>https://scholar.google.com/citations?hl=en&amp;view_op=list_hcore&amp;venue=QJsHI8scVfoJ.2020</t>
  </si>
  <si>
    <t>https://scholar.google.com/citations?hl=en&amp;view_op=list_hcore&amp;venue=3EfEMUAKK7wJ.2020</t>
  </si>
  <si>
    <t>https://scholar.google.com/citations?hl=en&amp;view_op=list_hcore&amp;venue=LLCdED38YXkJ.2020</t>
  </si>
  <si>
    <t>Towards Autonomous Robotics Systems</t>
  </si>
  <si>
    <t>https://scholar.google.com/citations?hl=en&amp;view_op=list_hcore&amp;venue=3_Q6Rsb1TloJ.2020</t>
  </si>
  <si>
    <t>RoboSoft</t>
  </si>
  <si>
    <t>IEEE International Conference on Soft Robotics</t>
  </si>
  <si>
    <t>https://scholar.google.com/citations?hl=en&amp;view_op=list_hcore&amp;venue=ozuU4D3JRbUJ.2020</t>
  </si>
  <si>
    <t>RoMoCo</t>
  </si>
  <si>
    <t>International Workshop on Robot Motion and Control</t>
  </si>
  <si>
    <t>https://scholar.google.com/citations?hl=en&amp;view_op=list_hcore&amp;venue=a7sB4asTg0EJ.2020</t>
  </si>
  <si>
    <t>ARSO</t>
  </si>
  <si>
    <t>IEEE Workshop on Advanced Robotics and its Social Impacts (ARSO)</t>
  </si>
  <si>
    <t>https://scholar.google.com/citations?hl=en&amp;view_op=list_hcore&amp;venue=MHGPX0ifa6MJ.2020</t>
  </si>
  <si>
    <t>ICARM</t>
  </si>
  <si>
    <t>International Conference on Advanced Robotics and Mechatronics</t>
  </si>
  <si>
    <t>https://scholar.google.com/citations?hl=en&amp;view_op=list_hcore&amp;venue=2ZThoUFv558J.2020</t>
  </si>
  <si>
    <t>RITA</t>
  </si>
  <si>
    <t>International Conference on Robot Intelligence Technology and Applications</t>
  </si>
  <si>
    <t>https://scholar.google.com/citations?hl=en&amp;view_op=list_hcore&amp;venue=Tct1hCSnseoJ.2020</t>
  </si>
  <si>
    <t>OCEAN</t>
  </si>
  <si>
    <t>IEEE Oceans Conference</t>
  </si>
  <si>
    <t>https://scholar.google.com/citations?hl=en&amp;view_op=list_hcore&amp;venue=gefgzKCl3_0J.2020</t>
  </si>
  <si>
    <t>ACIRS</t>
  </si>
  <si>
    <t>Asia-Pacific Conference on Intelligent Robot Systems</t>
  </si>
  <si>
    <t>https://scholar.google.com/citations?hl=en&amp;view_op=list_hcore&amp;venue=dQMJcSWIFtgJ.2020</t>
  </si>
  <si>
    <t>ICRAE</t>
  </si>
  <si>
    <t>International Conference on Robotics and Automation Engineering</t>
  </si>
  <si>
    <t>https://scholar.google.com/citations?hl=en&amp;view_op=list_hcore&amp;venue=U0jXyBJv17EJ.2020</t>
  </si>
  <si>
    <t>CBS</t>
  </si>
  <si>
    <t>IEEE International Conference on Cyborg and Bionic Systems</t>
  </si>
  <si>
    <t>https://scholar.google.com/citations?hl=en&amp;view_op=list_hcore&amp;venue=o5Mc40u6CcYJ.2020</t>
  </si>
  <si>
    <t>ISR*</t>
  </si>
  <si>
    <t>IEEE International Conference on Intelligence and Safety for Robotics</t>
  </si>
  <si>
    <t>https://scholar.google.com/citations?hl=en&amp;view_op=list_hcore&amp;venue=CVpdLFbXIAIJ.2020</t>
  </si>
  <si>
    <t>IFAC*</t>
  </si>
  <si>
    <t>IFAC - World Congress of the International Federation of Automatic Control</t>
  </si>
  <si>
    <t>https://scholar.google.com/citations?hl=en&amp;view_op=list_hcore&amp;venue=pq9AC66DKAMJ.2020</t>
  </si>
  <si>
    <t>SBAI*</t>
  </si>
  <si>
    <t>CBA*</t>
  </si>
  <si>
    <t>Congresso Brasileiro de Automática</t>
  </si>
  <si>
    <t>BRASERO*</t>
  </si>
  <si>
    <t>Brazilian Workshop on Service Robotics</t>
  </si>
  <si>
    <t>BRAHUR*</t>
  </si>
  <si>
    <t>Brazilian Humanoid Robot Workshop</t>
  </si>
  <si>
    <t>FSR*</t>
  </si>
  <si>
    <t>Conference on Field and Service Robotics</t>
  </si>
  <si>
    <t>DARS*</t>
  </si>
  <si>
    <t>ISAM*</t>
  </si>
  <si>
    <t>IEEE International Symposium on Assembly and Manufacturing</t>
  </si>
  <si>
    <t>SIMPAR*</t>
  </si>
  <si>
    <t>IEEE International Conference on Simulation, Modeling, and Programming for Autonomous Robots</t>
  </si>
  <si>
    <t>ISMCR</t>
  </si>
  <si>
    <t>International Symposium on Measurement and Control in Robotics</t>
  </si>
  <si>
    <t>MRS*</t>
  </si>
  <si>
    <t>International Symposium on Multi-Robot and Multi-Agent Systems</t>
  </si>
  <si>
    <t>WRC</t>
  </si>
  <si>
    <t>World Robot Conference</t>
  </si>
  <si>
    <t>ICMCR</t>
  </si>
  <si>
    <t>International Conference on Mechatronics, Control and Robotics</t>
  </si>
  <si>
    <t>WHC*</t>
  </si>
  <si>
    <t>IAV**</t>
  </si>
  <si>
    <t>IFAC Symposium on Intelligent Autonomous Vehicles</t>
  </si>
  <si>
    <t>ICAROB</t>
  </si>
  <si>
    <t>International Conference on Artificial Life and Robotics</t>
  </si>
  <si>
    <t>ISMR</t>
  </si>
  <si>
    <t>International Symposium on Medical Robotics</t>
  </si>
  <si>
    <t>MNR</t>
  </si>
  <si>
    <t>Mostra Nacional de Robótica</t>
  </si>
  <si>
    <t>ICDL-EpiRob</t>
  </si>
  <si>
    <t>IEEE International Conference on Development and Learning and Epigenetic Robotics</t>
  </si>
  <si>
    <t>https://scholar.google.com/citations?hl=en&amp;vq=bio_bioinformatics&amp;view_op=list_hcore&amp;venue=Bt5D8QeIDW8J.2019</t>
  </si>
  <si>
    <t>https://scholar.google.com/citations?hl=en&amp;vq=bio_bioinformatics&amp;view_op=list_hcore&amp;venue=4m3nKpBBPt4J.2019</t>
  </si>
  <si>
    <t>PSB</t>
  </si>
  <si>
    <t>Pacific Symposium on Biocomputing</t>
  </si>
  <si>
    <t>https://scholar.google.com/citations?hl=en&amp;view_op=list_hcore&amp;venue=Wzseq37BLhIJ.2019</t>
  </si>
  <si>
    <t>ACM Conference on Bioinformatics, Computational Biology, and Health Informatics</t>
  </si>
  <si>
    <t>https://scholar.google.com/citations?hl=en&amp;vq=bio_bioinformatics&amp;view_op=list_hcore&amp;venue=A0r8tJR7iaEJ.2019</t>
  </si>
  <si>
    <t>https://scholar.google.com/citations?hl=en&amp;view_op=list_hcore&amp;venue=HnP0m-BVIUMJ.2019</t>
  </si>
  <si>
    <t>IEEE International Conference on Bioinformatics and Bioengineering</t>
  </si>
  <si>
    <t>https://scholar.google.com/citations?hl=en&amp;view_op=list_hcore&amp;venue=2QSZR8tX_koJ.2019</t>
  </si>
  <si>
    <t>https://scholar.google.com/citations?hl=en&amp;view_op=list_hcore&amp;venue=T4IEJzWRVqIJ.2019</t>
  </si>
  <si>
    <t>IEEE Symposium on Computational Intelligence in Bioinformatics and Computational Biology</t>
  </si>
  <si>
    <t>https://scholar.google.com/citations?hl=en&amp;view_op=list_hcore&amp;venue=ybNREko_Be0J.2019</t>
  </si>
  <si>
    <t>PACBB</t>
  </si>
  <si>
    <t>International Conference on Practical Applications of Computational Biology &amp; Bioinformatics</t>
  </si>
  <si>
    <t>https://scholar.google.com/citations?hl=en&amp;view_op=list_hcore&amp;venue=mdYvjBmRbpwJ.2019</t>
  </si>
  <si>
    <t>https://scholar.google.com/citations?hl=en&amp;view_op=list_hcore&amp;venue=CYFIxMLpkUsJ.2019</t>
  </si>
  <si>
    <t>ICCABS</t>
  </si>
  <si>
    <t>International Conference on Computational Advances in Bio and Medical Sciences</t>
  </si>
  <si>
    <t>https://scholar.google.com/citations?hl=en&amp;view_op=list_hcore&amp;venue=QQeDv53tlF0J.2019</t>
  </si>
  <si>
    <t>*</t>
  </si>
  <si>
    <t>Não aparece nas métricas do Google Scholar</t>
  </si>
  <si>
    <t>CSBIO</t>
  </si>
  <si>
    <t>International Conference on Computational Systems-Biology and Bioinformatics</t>
  </si>
  <si>
    <t>BIATA</t>
  </si>
  <si>
    <t>Bioinformatics: from Algorithms to Applications</t>
  </si>
  <si>
    <t>AlCoB</t>
  </si>
  <si>
    <t>International Conference on Algorithms for Computational Biology</t>
  </si>
  <si>
    <t>ISMB/ECCB</t>
  </si>
  <si>
    <t>Intelligent Systems for Molecular Biology / European Conference on Computational Biology</t>
  </si>
  <si>
    <t>https://scholar.google.com.br/citations?hl=pt-BR&amp;view_op=list_hcore&amp;venue=muc8DCDEiWcJ.2018</t>
  </si>
  <si>
    <t>https://scholar.google.com.br/citations?hl=en&amp;view_op=list_hcore&amp;venue=saKKhfQeF-MJ.2018</t>
  </si>
  <si>
    <t>https://scholar.google.com.br/citations?hl=pt-BR&amp;view_op=list_hcore&amp;venue=HqiGvACsawYJ.2018</t>
  </si>
  <si>
    <t>ACM Virtual Reality Software and Technology</t>
  </si>
  <si>
    <t>https://scholar.google.com.br/citations?hl=pt-BR&amp;view_op=list_hcore&amp;venue=QFdzrecfz8sJ.2018</t>
  </si>
  <si>
    <t>VRCAI - International Conference on Virtual Reality Continuum and its Applications in Industry</t>
  </si>
  <si>
    <t>https://scholar.google.com.br/citations?hl=en&amp;view_op=list_hcore&amp;venue=vRov3XZPx2wJ.2018</t>
  </si>
  <si>
    <t>https://scholar.google.com.br/citations?hl=pt-BR&amp;view_op=list_hcore&amp;venue=Y15SCgN8Um8J.2018</t>
  </si>
  <si>
    <t>SUI</t>
  </si>
  <si>
    <t>Symposium on Spatial User Interaction</t>
  </si>
  <si>
    <t>https://scholar.google.com.br/citations?hl=pt-BR&amp;view_op=list_hcore&amp;venue=pUIVy52VbeEJ.2018</t>
  </si>
  <si>
    <t>https://scholar.google.com.br/citations?hl=pt-BR&amp;view_op=list_hcore&amp;venue=w44irn7CFc0J.2018</t>
  </si>
  <si>
    <t>https://scholar.google.com.br/citations?hl=pt-BR&amp;vq=eng_humancomputerinteraction&amp;view_op=list_hcore&amp;venue=6NNnGOq9_mAJ.2018</t>
  </si>
  <si>
    <t>ACM Symposium on User Interface Software and Technology</t>
  </si>
  <si>
    <t>https://scholar.google.com.br/citations?hl=pt-BR&amp;view_op=list_hcore&amp;venue=vl9z3BzoXrgJ.2018</t>
  </si>
  <si>
    <t>https://scholar.google.com.br/citations?hl=pt-BR&amp;view_op=list_hcore&amp;venue=uDnJSYNMB80J.2018</t>
  </si>
  <si>
    <t>International Conference on Acoustics, Speech, and Signal Processing</t>
  </si>
  <si>
    <t>https://scholar.google.com.br/citations?hl=pt-BR&amp;view_op=list_hcore&amp;venue=QOgFrmUupZYJ.2018</t>
  </si>
  <si>
    <t>https://scholar.google.com.br/citations?hl=pt-BR&amp;view_op=list_hcore&amp;venue=5FWz4DClk1YJ.2018</t>
  </si>
  <si>
    <t>ACM Conference on Pervasive and Ubiquitous Computing</t>
  </si>
  <si>
    <t>https://scholar.google.com.br/citations?hl=pt-BR&amp;vq=eng_humancomputerinteraction&amp;view_op=list_hcore&amp;venue=K6EHRjh8bWIJ.2018</t>
  </si>
  <si>
    <t>ACM-MM</t>
  </si>
  <si>
    <t>https://scholar.google.com.br/citations?hl=pt-BR&amp;view_op=list_hcore&amp;venue=vKMrxyJUpv0J.2018</t>
  </si>
  <si>
    <t>HAPTICS</t>
  </si>
  <si>
    <t>IEEE Haptics Symposium</t>
  </si>
  <si>
    <t>https://scholar.google.com.br/citations?hl=pt-BR&amp;view_op=list_hcore&amp;venue=OgfFzjmc8_gJ.2018</t>
  </si>
  <si>
    <t>https://scholar.google.com.br/citations?hl=pt-BR&amp;view_op=list_hcore&amp;venue=QLpioUFGyGMJ.2018</t>
  </si>
  <si>
    <t>https://scholar.google.com.br/citations?hl=pt-BR&amp;view_op=list_hcore&amp;venue=cwIh2C-xo8kJ.2018</t>
  </si>
  <si>
    <t>IEEE/RJS International Conference on Intelligent Robots and Systems</t>
  </si>
  <si>
    <t>https://scholar.google.com.br/citations?hl=pt-BR&amp;view_op=list_hcore&amp;venue=QZ31s4XlF8EJ.2018</t>
  </si>
  <si>
    <t>Web3D</t>
  </si>
  <si>
    <t>https://scholar.google.com.br/citations?hl=pt-BR&amp;vq=eng_computergraphics&amp;view_op=list_hcore&amp;venue=xe8o8pgRcJQJ.2018</t>
  </si>
  <si>
    <t>ACM Conference on Computer-Supported Cooperative Work &amp; Social Computing</t>
  </si>
  <si>
    <t>https://scholar.google.com.br/citations?hl=pt-BR&amp;vq=eng_humancomputerinteraction&amp;view_op=list_hcore&amp;venue=kXowlNFROIgJ.2018</t>
  </si>
  <si>
    <t>https://scholar.google.com.br/citations?hl=pt-BR&amp;view_op=list_hcore&amp;venue=jl5pTV5Sh0AJ.2018</t>
  </si>
  <si>
    <t>https://scholar.google.com.br/citations?hl=pt-BR&amp;view_op=list_hcore&amp;venue=ihIDe6biV1gJ.2018</t>
  </si>
  <si>
    <t>https://scholar.google.com.br/citations?hl=pt-BR&amp;view_op=list_hcore&amp;venue=T_DfB2ikUbwJ.2018</t>
  </si>
  <si>
    <t>https://scholar.google.com.br/citations?hl=pt-BR&amp;view_op=list_hcore&amp;venue=a9ZSGA40nccJ.2018</t>
  </si>
  <si>
    <t>https://scholar.google.com.br/citations?hl=pt-BR&amp;view_op=list_hcore&amp;venue=uo-zCIky-iEJ.2018</t>
  </si>
  <si>
    <t>https://scholar.google.com.br/citations?hl=pt-BR&amp;vq=eng_computervisionpatternrecognition&amp;view_op=list_hcore&amp;venue=tOKomDtxujwJ.2018</t>
  </si>
  <si>
    <t>https://scholar.google.com.br/citations?hl=pt-BR&amp;view_op=list_hcore&amp;venue=D6qw-B7Hrk0J.2018</t>
  </si>
  <si>
    <t>https://scholar.google.com.br/citations?hl=pt-BR&amp;view_op=list_hcore&amp;venue=_3Q9NfFmueMJ.2018</t>
  </si>
  <si>
    <t>https://scholar.google.com.br/citations?hl=en&amp;view_op=list_hcore&amp;venue=rrlriATuz7wJ.2018</t>
  </si>
  <si>
    <t>https://scholar.google.com.br/citations?hl=pt-BR&amp;view_op=list_hcore&amp;venue=C6G2a_KY88AJ.2018</t>
  </si>
  <si>
    <t>ICMI</t>
  </si>
  <si>
    <t>International Conference on Multimodal Interfaces</t>
  </si>
  <si>
    <t>https://scholar.google.com.br/citations?hl=pt-BR&amp;vq=eng_humancomputerinteraction&amp;view_op=list_hcore&amp;venue=FeNM07eYolwJ.2018</t>
  </si>
  <si>
    <t>https://scholar.google.com.br/citations?hl=pt-BR&amp;view_op=list_hcore&amp;venue=eLhWa3qzEDsJ.2018</t>
  </si>
  <si>
    <t>https://scholar.google.com.br/citations?hl=pt-BR&amp;vq=eng_robotics&amp;view_op=list_hcore&amp;venue=P7JmirE2spgJ.2018</t>
  </si>
  <si>
    <t>https://scholar.google.com.br/citations?hl=pt-BR&amp;view_op=list_hcore&amp;venue=cVHg_1PrXPkJ.2018</t>
  </si>
  <si>
    <t>https://scholar.google.com.br/citations?hl=pt-BR&amp;vq=eng_humancomputerinteraction&amp;view_op=list_hcore&amp;venue=-_BzfdwqRVsJ.2018</t>
  </si>
  <si>
    <t>MMSys</t>
  </si>
  <si>
    <t>https://scholar.google.com.br/citations?hl=pt-BR&amp;vq=eng_multimedia&amp;view_op=list_hcore&amp;venue=iRTf4ImdsEQJ.2018</t>
  </si>
  <si>
    <t>HCII</t>
  </si>
  <si>
    <t>International Conference on Human-­‐Computer Interaction</t>
  </si>
  <si>
    <t>https://scholar.google.com/citations?hl=en&amp;view_op=list_hcore&amp;venue=v05i1s2aH5wJ.2018</t>
  </si>
  <si>
    <t>https://scholar.google.com.br/citations?hl=pt-BR&amp;view_op=list_hcore&amp;venue=csTrlFozg_IJ.2018</t>
  </si>
  <si>
    <t>https://scholar.google.com.br/citations?hl=pt-BR&amp;vq=eng_humancomputerinteraction&amp;view_op=list_hcore&amp;venue=KRPnqF5qBUgJ.2018</t>
  </si>
  <si>
    <t>https://scholar.google.com.br/citations?hl=pt-BR&amp;view_op=list_hcore&amp;venue=A_JnpJHOiAEJ.2018</t>
  </si>
  <si>
    <t>DIS</t>
  </si>
  <si>
    <t>Conference on Designing Interactive Systems</t>
  </si>
  <si>
    <t>https://scholar.google.com.br/citations?hl=pt-BR&amp;vq=eng_humancomputerinteraction&amp;view_op=list_hcore&amp;venue=NL3siS1OXxYJ.2018</t>
  </si>
  <si>
    <t>ACM Interaction Design and Children Conference</t>
  </si>
  <si>
    <t>https://scholar.google.com.br/citations?hl=pt-BR&amp;vq=eng_humancomputerinteraction&amp;view_op=list_hcore&amp;venue=cOPH-2bbPCQJ.2018</t>
  </si>
  <si>
    <t>MobileHCI</t>
  </si>
  <si>
    <t>International Conference on Human-­‐Computer Interaction with Mobile Devices and Services</t>
  </si>
  <si>
    <t>https://scholar.google.com.br/citations?hl=pt-BR&amp;vq=eng_humancomputerinteraction&amp;view_op=list_hcore&amp;venue=FYz8XSTnq6sJ.2018</t>
  </si>
  <si>
    <t>IEEE International Conference on Computer Vision Workshops</t>
  </si>
  <si>
    <t>ACM SIGGRAPH / Eurographics Symposium on Computer Animation</t>
  </si>
  <si>
    <t>https://scholar.google.com.br/citations?hl=pt-BR&amp;vq=eng_computergraphics&amp;view_op=list_hcore&amp;venue=sZKrImaY-W4J.2018</t>
  </si>
  <si>
    <t>IEEE International Conference on Systems Man and Cybernetics</t>
  </si>
  <si>
    <t>https://scholar.google.com.br/citations?hl=pt-BR&amp;view_op=list_hcore&amp;venue=qJlcVei6YeoJ.2018</t>
  </si>
  <si>
    <t>Assets</t>
  </si>
  <si>
    <t>International ACM Conference on Assistive Technologies (Assets)</t>
  </si>
  <si>
    <t>https://scholar.google.com.br/citations?hl=pt-BR&amp;view_op=list_hcore&amp;venue=c5bgEi18VesJ.2018</t>
  </si>
  <si>
    <t>International Conference on User Modeling, Adaptation and Personalization (UMAP)</t>
  </si>
  <si>
    <t>https://scholar.google.com.br/citations?hl=pt-BR&amp;view_op=list_hcore&amp;venue=jtXTIwcBWV8J.2018</t>
  </si>
  <si>
    <t>ICER</t>
  </si>
  <si>
    <t>International Computing Education Research (ICER)</t>
  </si>
  <si>
    <t>https://scholar.google.com.br/citations?hl=en&amp;view_op=list_hcore&amp;venue=v0xCU4OEvKUJ.2018</t>
  </si>
  <si>
    <t>ICMEW</t>
  </si>
  <si>
    <t>IEEE International Conference on Multimedia and Expo Workshops</t>
  </si>
  <si>
    <t>https://scholar.google.com.br/citations?hl=pt-BR&amp;view_op=list_hcore&amp;venue=Nb-CRah8-lcJ.2018</t>
  </si>
  <si>
    <t>IFIP Conference on Human-Computer Interaction</t>
  </si>
  <si>
    <t>https://scholar.google.com.br/citations?hl=pt-BR&amp;view_op=list_hcore&amp;venue=6hYO_ZiWs1YJ.2018</t>
  </si>
  <si>
    <t>https://scholar.google.com.br/citations?hl=pt-BR&amp;vq=eng_computergraphics&amp;view_op=list_hcore&amp;venue=57ldUB5wCWkJ.2018</t>
  </si>
  <si>
    <t>https://scholar.google.com.br/citations?hl=pt-BR&amp;view_op=list_hcore&amp;venue=ljGmmUmHfUwJ.2018</t>
  </si>
  <si>
    <t>IGARSS - IEEE International Geoscience and Remote Sensing Symposium</t>
  </si>
  <si>
    <t>https://scholar.google.com.br/citations?hl=pt-BR&amp;view_op=list_hcore&amp;venue=D2xvUFgEEJEJ.2018</t>
  </si>
  <si>
    <t>IEEE International Symposium on Wearable Computers</t>
  </si>
  <si>
    <t>https://scholar.google.com.br/citations?hl=pt-BR&amp;view_op=list_hcore&amp;venue=_spLz2dfW1AJ.2018</t>
  </si>
  <si>
    <t>International Conference on MultiMedia Modeling</t>
  </si>
  <si>
    <t>https://scholar.google.com.br/citations?hl=pt-BR&amp;vq=eng_multimedia&amp;view_op=list_hcore&amp;venue=Yk_rZmw8Ul4J.2018</t>
  </si>
  <si>
    <t>https://scholar.google.com.br/citations?hl=pt-BR&amp;vq=eng_multimedia&amp;view_op=list_hcore&amp;venue=bEDbANOodwgJ.2018</t>
  </si>
  <si>
    <t>ITiCSE</t>
  </si>
  <si>
    <t>ITiCSE - Conference on Innovation and Technology in Computer Science Education</t>
  </si>
  <si>
    <t>https://scholar.google.com.br/citations?hl=en&amp;view_op=list_hcore&amp;venue=68UDAZLIQo8J.2018</t>
  </si>
  <si>
    <t>https://scholar.google.com.br/citations?hl=pt-BR&amp;view_op=list_hcore&amp;venue=8ZzKUGSn8EwJ.2018</t>
  </si>
  <si>
    <t>https://scholar.google.com.br/citations?hl=pt-BR&amp;vq=eng_computergraphics&amp;view_op=list_hcore&amp;venue=KGisWKXS5soJ.2018</t>
  </si>
  <si>
    <t>Symposium on Interactive 3D Graphics</t>
  </si>
  <si>
    <t>https://scholar.google.com.br/citations?hl=pt-BR&amp;vq=eng_computergraphics&amp;view_op=list_hcore&amp;venue=2aIQ9fxzrwkJ.2018</t>
  </si>
  <si>
    <t>https://scholar.google.com.br/citations?hl=pt-BR&amp;view_op=list_hcore&amp;venue=sPLlun2OWTwJ.2018</t>
  </si>
  <si>
    <t>IEEE Visual Analytics Science and Technology</t>
  </si>
  <si>
    <t>https://scholar.google.com.br/citations?hl=pt-BR&amp;vq=eng_computergraphics&amp;view_op=list_hcore&amp;venue=CHhjsz22fSoJ.2018</t>
  </si>
  <si>
    <t>AVI</t>
  </si>
  <si>
    <t>Working Conference on Advanced Visual Interfaces</t>
  </si>
  <si>
    <t>https://scholar.google.com.br/citations?hl=pt-BR&amp;view_op=list_hcore&amp;venue=C6G9iftHmdwJ.2018</t>
  </si>
  <si>
    <t>LDAV</t>
  </si>
  <si>
    <t>IEEE Symposium on Large Data Analysis and Visualization</t>
  </si>
  <si>
    <t>https://scholar.google.com.br/citations?hl=pt-BR&amp;vq=eng_computergraphics&amp;view_op=list_hcore&amp;venue=PuM6IoLx1yoJ.2018</t>
  </si>
  <si>
    <t>https://scholar.google.com.br/citations?hl=pt-BR&amp;view_op=list_hcore&amp;venue=qMlBqP1FA1wJ.2018</t>
  </si>
  <si>
    <t>https://scholar.google.com.br/citations?hl=en&amp;view_op=list_hcore&amp;venue=QTCI2sX39qUJ.2018</t>
  </si>
  <si>
    <t>SBAC-PAD - International Symposium on Computer Architecture and High Performance Computing</t>
  </si>
  <si>
    <t>https://scholar.google.com.br/citations?hl=pt-BR&amp;view_op=list_hcore&amp;venue=xujU2BmpDawJ.2018</t>
  </si>
  <si>
    <t>EuroHaptics</t>
  </si>
  <si>
    <t>https://scholar.google.com.br/citations?hl=pt-BR&amp;view_op=list_hcore&amp;venue=G77T8N63lDIJ.2018</t>
  </si>
  <si>
    <t>https://scholar.google.com.br/citations?hl=pt-BR&amp;view_op=list_hcore&amp;venue=ulaSNA5ZgjEJ.2018</t>
  </si>
  <si>
    <t>International Symposium on Vision, Modeling and Visualization</t>
  </si>
  <si>
    <t>https://scholar.google.com.br/citations?hl=pt-BR&amp;vq=eng_computergraphics&amp;view_op=list_hcore&amp;venue=AKvk3JzWp4QJ.2018</t>
  </si>
  <si>
    <t>SBCCI - Symposium on Integrated Circuits and Systems Design</t>
  </si>
  <si>
    <t>https://scholar.google.com.br/citations?hl=pt-BR&amp;view_op=list_hcore&amp;venue=ce7ecw4OEFoJ.2018</t>
  </si>
  <si>
    <t>https://scholar.google.com.br/citations?hl=pt-BR&amp;view_op=list_hcore&amp;venue=ztMqUOkonasJ.2018</t>
  </si>
  <si>
    <t>WebMedia</t>
  </si>
  <si>
    <t>https://scholar.google.com.br/citations?hl=pt-BR&amp;view_op=list_hcore&amp;venue=EL-07Zfxn_kJ.2018</t>
  </si>
  <si>
    <t>ISS</t>
  </si>
  <si>
    <t>ACM Interactive Surfaces and Spaces</t>
  </si>
  <si>
    <t>https://scholar.google.com.br/citations?hl=en&amp;view_op=list_hcore&amp;venue=js1p_d4DBXkJ.2018</t>
  </si>
  <si>
    <t>Brazilian Symposium on Human Factors in Computing Systems</t>
  </si>
  <si>
    <t>https://scholar.google.com.br/citations?hl=pt-BR&amp;view_op=list_hcore&amp;venue=YC7yoNYrtdAJ.2018</t>
  </si>
  <si>
    <t>ASPRS</t>
  </si>
  <si>
    <t>Annual Conference and International Lidar Mapping Forum</t>
  </si>
  <si>
    <t>CBA</t>
  </si>
  <si>
    <t>ACE-X</t>
  </si>
  <si>
    <t>International Conference on Advanced Computational Engineering and Experimenting</t>
  </si>
  <si>
    <t>CBEB</t>
  </si>
  <si>
    <t>CBEB - Congresso Brasileiro de Engenharia Biomédica</t>
  </si>
  <si>
    <t>CILAMCE</t>
  </si>
  <si>
    <t>Iberian Latin American Congress on Computational Methods</t>
  </si>
  <si>
    <t>CIMENICS</t>
  </si>
  <si>
    <t>International Congress on Numerical Methods in Engineering and Applied Sciences</t>
  </si>
  <si>
    <t>CMN</t>
  </si>
  <si>
    <t>Congress on Numerical Methods in Engineering</t>
  </si>
  <si>
    <t>I/ITSEC</t>
  </si>
  <si>
    <t>Interservice/Industry Training, Simulation &amp; Education Conference</t>
  </si>
  <si>
    <t>ICVIIP</t>
  </si>
  <si>
    <t>International Conference on Visualization: Imaging and Image Processing</t>
  </si>
  <si>
    <t>InfoVis</t>
  </si>
  <si>
    <t>IEEE Information Visualization</t>
  </si>
  <si>
    <t>Simpósio Brasileiro em Computação Musical</t>
  </si>
  <si>
    <t>SBGames</t>
  </si>
  <si>
    <t>Brazilian Symposium on Games and Digital Entertainment</t>
  </si>
  <si>
    <t>SBR</t>
  </si>
  <si>
    <t>Simpósio Brasileiro de Robótica</t>
  </si>
  <si>
    <t>SciVis</t>
  </si>
  <si>
    <t>IEEE Scientific Visualization</t>
  </si>
  <si>
    <t>USIHC</t>
  </si>
  <si>
    <t>Congresso Internacional de Ergonomia e Usabilidade de Interfaces Humano Computador</t>
  </si>
  <si>
    <t>Simpósio de Sistemas Computacionais de Alto Desempenho</t>
  </si>
  <si>
    <t>International Conferences in Central Europe on Computer Graphics, Visualization and Computer Vision</t>
  </si>
  <si>
    <t>IEEE S&amp;P</t>
  </si>
  <si>
    <t xml:space="preserve">https://scholar.google.com/citations?hl=en&amp;view_op=list_hcore&amp;venue=cNDfl82p1FwJ.2018 </t>
  </si>
  <si>
    <t>https://scholar.google.com.br/citations?hl=pt-BR&amp;view_op=list_hcore&amp;venue=tsuNspfpsn4J.2018</t>
  </si>
  <si>
    <t>https://scholar.google.com/citations?hl=en&amp;view_op=list_hcore&amp;venue=HdnWZFXgmkQJ.2018</t>
  </si>
  <si>
    <t>https://scholar.google.com/citations?hl=en&amp;view_op=list_hcore&amp;venue=CwfZO4J4a4UJ.2018</t>
  </si>
  <si>
    <t>https://scholar.google.com/citations?hl=en&amp;view_op=list_hcore&amp;venue=0NzweKVXmpkJ.2018</t>
  </si>
  <si>
    <t>https://scholar.google.com/citations?hl=en&amp;view_op=list_hcore&amp;venue=XpB0TY0OXkoJ.2018</t>
  </si>
  <si>
    <t>https://scholar.google.com/citations?hl=en&amp;view_op=list_hcore&amp;venue=mVouTzCK9BcJ.2018</t>
  </si>
  <si>
    <t>ICSME</t>
  </si>
  <si>
    <t>https://scholar.google.com/citations?hl=en&amp;view_op=list_hcore&amp;venue=vFnBmzCVT64J.2018</t>
  </si>
  <si>
    <t>https://scholar.google.com/citations?hl=en&amp;view_op=list_hcore&amp;venue=KigRzjvnEC0J.2018</t>
  </si>
  <si>
    <t>https://scholar.google.com/citations?hl=en&amp;view_op=list_hcore&amp;venue=DQUq5mthvPAJ.2018</t>
  </si>
  <si>
    <t>https://scholar.google.com/citations?hl=en&amp;view_op=list_hcore&amp;venue=Q7aNVRgyGrYJ.2018</t>
  </si>
  <si>
    <t>https://scholar.google.com/citations?hl=en&amp;view_op=list_hcore&amp;venue=rXEm9Hzg5P8J.2018</t>
  </si>
  <si>
    <t>https://scholar.google.com/citations?hl=en&amp;view_op=list_hcore&amp;venue=fkF-UcrzbCsJ.2018</t>
  </si>
  <si>
    <t>https://scholar.google.com/citations?hl=en&amp;view_op=list_hcore&amp;venue=d7uBCzQUspcJ.2018</t>
  </si>
  <si>
    <t>https://scholar.google.com/citations?hl=en&amp;view_op=list_hcore&amp;venue=3ppqdCDVTskJ.2018</t>
  </si>
  <si>
    <t>https://scholar.google.com/citations?hl=en&amp;view_op=list_hcore&amp;venue=ew4BNcKUYRcJ.2018</t>
  </si>
  <si>
    <t>https://scholar.google.com/citations?hl=en&amp;view_op=list_hcore&amp;venue=TWG2GULnchAJ.2018</t>
  </si>
  <si>
    <t>https://scholar.google.com/citations?hl=en&amp;view_op=list_hcore&amp;venue=CWzNub7mXWkJ.2018</t>
  </si>
  <si>
    <t>https://scholar.google.com/citations?hl=en&amp;view_op=list_hcore&amp;venue=atAE4ny0p7UJ.2018</t>
  </si>
  <si>
    <t>Não possui</t>
  </si>
  <si>
    <t>https://scholar.google.com/citations?hl=en&amp;view_op=list_hcore&amp;venue=VATFw1qhessJ.2018</t>
  </si>
  <si>
    <t>https://scholar.google.com/citations?hl=en&amp;view_op=list_hcore&amp;venue=dfig8oqmoD8J.2018</t>
  </si>
  <si>
    <t>SEAA</t>
  </si>
  <si>
    <t>https://scholar.google.com/citations?hl=en&amp;view_op=list_hcore&amp;venue=q4lhGCNkc40J.2018</t>
  </si>
  <si>
    <t>https://scholar.google.com/citations?hl=en&amp;view_op=list_hcore&amp;venue=hbCKVuECYrEJ.2018</t>
  </si>
  <si>
    <t>https://scholar.google.com/citations?hl=en&amp;view_op=list_hcore&amp;venue=iitP56YRZJoJ.2018</t>
  </si>
  <si>
    <t>https://scholar.google.com/citations?hl=en&amp;view_op=list_hcore&amp;venue=oiGJy2QuANsJ.2018</t>
  </si>
  <si>
    <t>https://scholar.google.com/citations?hl=en&amp;view_op=list_hcore&amp;venue=m0WHmETFb4sJ.2018</t>
  </si>
  <si>
    <t>https://scholar.google.com/citations?hl=en&amp;view_op=list_hcore&amp;venue=FQXvEi7Xod4J.2018</t>
  </si>
  <si>
    <t>https://scholar.google.com/citations?hl=en&amp;view_op=list_hcore&amp;venue=zsGWp1QJr3AJ.2018</t>
  </si>
  <si>
    <t>https://scholar.google.com/citations?hl=en&amp;view_op=list_hcore&amp;venue=G_hj3vzY_1cJ.2018</t>
  </si>
  <si>
    <t>https://scholar.google.com/citations?hl=en&amp;view_op=list_hcore&amp;venue=JQUkUFehKJAJ.2018</t>
  </si>
  <si>
    <t>https://scholar.google.com/citations?hl=en&amp;view_op=list_hcore&amp;venue=VpR2K8wTkN8J.2018</t>
  </si>
  <si>
    <t>https://scholar.google.com/citations?hl=en&amp;view_op=list_hcore&amp;venue=muJqO5o5bdUJ.2018</t>
  </si>
  <si>
    <t>https://scholar.google.com/citations?hl=en&amp;view_op=list_hcore&amp;venue=RLYEWrcGzrsJ.2018</t>
  </si>
  <si>
    <t>OpenSym</t>
  </si>
  <si>
    <t>International Symposium on Open Collaboration</t>
  </si>
  <si>
    <t>https://scholar.google.com/citations?hl=en&amp;view_op=list_hcore&amp;venue=WsHYNHS4ODoJ.2018</t>
  </si>
  <si>
    <t>EUROPLOP</t>
  </si>
  <si>
    <t>https://scholar.google.com/citations?hl=en&amp;view_op=list_hcore&amp;venue=u4bWNQQoFowJ.2018</t>
  </si>
  <si>
    <t>https://scholar.google.com/citations?hl=en&amp;view_op=list_hcore&amp;venue=EOMzlES8GwsJ.2018</t>
  </si>
  <si>
    <t>https://scholar.google.com/citations?hl=en&amp;view_op=list_hcore&amp;venue=LInOyzwUtLYJ.2018</t>
  </si>
  <si>
    <t>https://scholar.google.com/citations?hl=en&amp;view_op=list_hcore&amp;venue=k7wjG1erdwwJ.2018</t>
  </si>
  <si>
    <t>https://scholar.google.com/citations?hl=en&amp;view_op=list_hcore&amp;venue=QHz4g2YxOYgJ.2018</t>
  </si>
  <si>
    <t>https://scholar.google.com/citations?hl=en&amp;view_op=list_hcore&amp;venue=wB6WaEpFlvgJ.2018</t>
  </si>
  <si>
    <t>https://scholar.google.com/citations?hl=en&amp;view_op=list_hcore&amp;venue=KaKG4ZSdHz4J.2018</t>
  </si>
  <si>
    <t>https://scholar.google.com/citations?hl=en&amp;view_op=list_hcore&amp;venue=I8L8xmsrq2EJ.2018</t>
  </si>
  <si>
    <t>VaMoS</t>
  </si>
  <si>
    <t>CBSoft</t>
  </si>
  <si>
    <t>Brazilian Conference on Software: Theory and Practice</t>
  </si>
  <si>
    <t>CIbSE</t>
  </si>
  <si>
    <t>Conferencia Iberoamericana de Software Engineering</t>
  </si>
  <si>
    <t>WASHES</t>
  </si>
  <si>
    <t>Workshop on Social, Human, and Economic Aspects of Software</t>
  </si>
  <si>
    <t>WBMA</t>
  </si>
  <si>
    <t>Workshop Brasileiro de Métodos Ágeis</t>
  </si>
  <si>
    <t>TechDebt</t>
  </si>
  <si>
    <t>International Conference on Technical Debt</t>
  </si>
  <si>
    <t>SugarLoafPLoP</t>
  </si>
  <si>
    <t>Latin American Conference on Pattern Languages of Programs</t>
  </si>
  <si>
    <t>https://scholar.google.com/citations?hl=en&amp;view_op=list_hcore&amp;venue=6CxxSCV0pL8J.2019</t>
  </si>
  <si>
    <t>https://scholar.google.com/citations?hl=en&amp;view_op=list_hcore&amp;venue=MJmsjXA6rLIJ.2019</t>
  </si>
  <si>
    <t>https://scholar.google.com/citations?hl=en&amp;view_op=list_hcore&amp;venue=QHz4g2YxOYgJ.2019</t>
  </si>
  <si>
    <t>https://scholar.google.com/citations?hl=en&amp;view_op=list_hcore&amp;venue=k7wjG1erdwwJ.2019</t>
  </si>
  <si>
    <t>ICFP</t>
  </si>
  <si>
    <t>International Conference on Functional Programming</t>
  </si>
  <si>
    <t>https://scholar.google.com/citations?hl=en&amp;view_op=list_hcore&amp;venue=uAiqErfInCIJ.2019</t>
  </si>
  <si>
    <t>https://scholar.google.com/citations?hl=en&amp;view_op=list_hcore&amp;venue=ol9-bwToVWEJ.2019</t>
  </si>
  <si>
    <t>https://scholar.google.com.br/scholar?as_q=&amp;as_epq=&amp;as_oq=&amp;as_eq=&amp;as_occt=any&amp;as_sauthors=&amp;as_publication=International+Conference+on+Compiler+Construction&amp;as_ylo=2014&amp;as_yhi=2018&amp;hl=en&amp;as_sdt=0%2C5</t>
  </si>
  <si>
    <t>ESOP</t>
  </si>
  <si>
    <t>European Symposium on Programming</t>
  </si>
  <si>
    <t>https://scholar.google.com/citations?hl=en&amp;view_op=list_hcore&amp;venue=UtpXAOWmk9EJ.2020</t>
  </si>
  <si>
    <t>https://scholar.google.com/citations?hl=en&amp;view_op=list_hcore&amp;venue=JDUQTRUV4EYJ.2019</t>
  </si>
  <si>
    <t>https://scholar.google.com/scholar?as_q=&amp;as_epq=&amp;as_oq=&amp;as_eq=&amp;as_occt=any&amp;as_sauthors=&amp;as_publication=Brazilian+Symposium+on+Programming+Languages&amp;as_ylo=2014&amp;as_yhi=2018&amp;hl=pt-BR&amp;as_sdt=0%2C5</t>
  </si>
  <si>
    <t>SLE</t>
  </si>
  <si>
    <t>ACM SIGPLAN International Conference on Software Language Engineering</t>
  </si>
  <si>
    <t>https://scholar.google.com/citations?hl=en&amp;view_op=list_hcore&amp;venue=gvR2lhvj3awJ.2019</t>
  </si>
  <si>
    <t>Languages, Compilers, and Tools for Embedded Systems</t>
  </si>
  <si>
    <t>https://scholar.google.com/scholar?start=20&amp;q=source:languages+source:compilers+source:tools+source:embedded+source:systems&amp;hl=pt-BR&amp;as_sdt=0,5&amp;as_ylo=2014&amp;as_yhi=2018</t>
  </si>
  <si>
    <t>Generative Programming: Concepts and Experiences</t>
  </si>
  <si>
    <t>https://scholar.google.com/scholar?start=0&amp;q=source:Generative+source:Programming+source:Concepts+source:and+source:Experiences&amp;hl=pt-BR&amp;as_sdt=0,5&amp;as_ylo=2014&amp;as_yhi=2018</t>
  </si>
  <si>
    <t>International Symposium on Memory Management</t>
  </si>
  <si>
    <t>https://scholar.google.com.br/citations?hl=en&amp;view_op=list_hcore&amp;venue=gOjRemocSxMJ.2018</t>
  </si>
  <si>
    <t>CPP</t>
  </si>
  <si>
    <t>ACM Symposium on Certified Programs and Proofs</t>
  </si>
  <si>
    <t>https://scholar.google.com/citations?hl=en&amp;view_op=list_hcore&amp;venue=kLPk-HmRGuYJ.2020</t>
  </si>
  <si>
    <t>https://scholar.google.com.br/citations?hl=en&amp;view_op=list_hcore&amp;venue=ktOuQEhO-mwJ.2018</t>
  </si>
  <si>
    <t>Static Analysis Symposium</t>
  </si>
  <si>
    <t>https://scholar.google.com/citations?hl=en&amp;view_op=list_hcore&amp;venue=uB4PZkdP_ikJ.2020</t>
  </si>
  <si>
    <t>https://scholar.google.com/citations?hl=en&amp;view_op=list_hcore&amp;venue=m0WHmETFb4sJ.2019</t>
  </si>
  <si>
    <t>https://scholar.google.com/citations?hl=en&amp;view_op=list_hcore&amp;venue=dHznF5bq130J.2019</t>
  </si>
  <si>
    <t>https://scholar.google.com/citations?hl=en&amp;view_op=list_hcore&amp;venue=KlkFB9T8yJEJ.2019</t>
  </si>
  <si>
    <t>HS</t>
  </si>
  <si>
    <t>Haskell Symposium</t>
  </si>
  <si>
    <t>https://scholar.google.com/scholar?start=0&amp;q=source:haskell+source:symposium&amp;hl=pt-BR&amp;as_sdt=0,5&amp;as_ylo=2014&amp;as_yhi=2018</t>
  </si>
  <si>
    <t>VEE</t>
  </si>
  <si>
    <t>International Conference on Virtual Execution Environments</t>
  </si>
  <si>
    <t>https://scholar.google.com/scholar?start=0&amp;q=source:+international+source:+conference+source:Virtual+source:Execution+source:Environments&amp;hl=pt-BR&amp;as_sdt=0,5&amp;as_ylo=2014&amp;as_yhi=2018</t>
  </si>
  <si>
    <t>&lt;Programming&gt;</t>
  </si>
  <si>
    <t>International Conference on the Art, Science, and Engineering of Programming</t>
  </si>
  <si>
    <t>https://scholar.google.com/scholar?hl=pt-BR&amp;as_sdt=0%2C5&amp;as_ylo=2014&amp;as_yhi=2018&amp;q=source%3A+international+source%3A+conference+source%3Aart+source%3Ascience+source%3Aprogramming&amp;btnG=</t>
  </si>
  <si>
    <t>Onward!</t>
  </si>
  <si>
    <t>DLS</t>
  </si>
  <si>
    <t>Dynamic Languages Symposium</t>
  </si>
  <si>
    <t>https://scholar.google.com/scholar?start=0&amp;q=source:Dynamic+source:Languages+source:Symposium+source:on&amp;hl=pt-BR&amp;as_sdt=0,5&amp;as_ylo=2014&amp;as_yhi=2018</t>
  </si>
  <si>
    <t>SCOPES</t>
  </si>
  <si>
    <t>Software and Compilers for Embedded Systems</t>
  </si>
  <si>
    <t>https://scholar.google.com/scholar?start=0&amp;q=source:International+source:Workshop+source:on+source:Software+source:and+source:Compilers+source:for+source:Embedded+source:Systems&amp;hl=pt-BR&amp;as_sdt=0,5&amp;as_ylo=2014&amp;as_yhi=2018</t>
  </si>
  <si>
    <t>Conference on Compilers, Architectures and Synthesis for Embedded Systems</t>
  </si>
  <si>
    <t>https://scholar.google.com/scholar?start=0&amp;q=source:INTERNATIONAL+source:CONFERENCE+source:ON+source:COMPILERS+source:ARCHITECTURES+source:AND+source:SYNTHESIS+source:FOR+source:EMBEDDED+source:SYSTEMS&amp;hl=pt-BR&amp;as_sdt=0,5&amp;as_ylo=2014&amp;as_yhi=2018</t>
  </si>
  <si>
    <t>REBLS</t>
  </si>
  <si>
    <t>Workshop on Reactive and Event-Based Languages and Systems</t>
  </si>
  <si>
    <t>https://scholar.google.com.br/scholar?as_q=&amp;as_epq=&amp;as_oq=&amp;as_eq=&amp;as_occt=any&amp;as_sauthors=&amp;as_publication=Reactive+and+Event+Based&amp;as_ylo=2014&amp;as_yhi=2018&amp;hl=en&amp;as_sdt=0%2C5</t>
  </si>
  <si>
    <t>https://scholar.google.com.br/scholar?start=30&amp;q=source:Forum+source:on+source:Specification+source:Design+source:Languages&amp;hl=en&amp;as_sdt=0,5&amp;as_ylo=2014&amp;as_yhi=2018</t>
  </si>
  <si>
    <t>International Conference on Acoustics, Speech and Signal Processing</t>
  </si>
  <si>
    <t>https://scholar.google.com/citations?hl=en&amp;view_op=search_venues&amp;vq=icassp&amp;btnG=</t>
  </si>
  <si>
    <t>https://scholar.google.com/citations?hl=en&amp;view_op=search_venues&amp;vq=international+society+for+music+information+retrieval+conference&amp;btnG=</t>
  </si>
  <si>
    <t>https://scholar.google.com/citations?hl=en&amp;view_op=search_venues&amp;vq=NIME&amp;btnG=</t>
  </si>
  <si>
    <t>https://scholar.google.com/citations?hl=en&amp;view_op=search_venues&amp;vq=international+computer+music+conference&amp;btnG=</t>
  </si>
  <si>
    <t>DAFX</t>
  </si>
  <si>
    <t>International Conference on Digital Audio Effects</t>
  </si>
  <si>
    <t>WASPAA</t>
  </si>
  <si>
    <t>IEEE Workshop on Applications of Signal Processing to Audio and Acoustics</t>
  </si>
  <si>
    <t>https://scholar.google.com/citations?hl=en&amp;view_op=search_venues&amp;vq=IEEE+Workshop+on+Applications+of+Signal+Processing+to+Audio+and+Acoustics&amp;btnG=</t>
  </si>
  <si>
    <t>https://scholar.google.com/citations?hl=en&amp;view_op=search_venues&amp;vq=IEEE+international+symposium+on+multimedia&amp;btnG=</t>
  </si>
  <si>
    <t>CMMR</t>
  </si>
  <si>
    <t>International Symposium on Computer Music Multidisciplinary Research</t>
  </si>
  <si>
    <t>AES</t>
  </si>
  <si>
    <t>International Convention of the Audio Engineering Society</t>
  </si>
  <si>
    <t>ICMPC</t>
  </si>
  <si>
    <t>International Conference on Music Perception and Cognition</t>
  </si>
  <si>
    <t>WAC</t>
  </si>
  <si>
    <t>Web Audio Conference</t>
  </si>
  <si>
    <t>ANPPOM</t>
  </si>
  <si>
    <t>Congresso da Associação Nacional de Pesquisa e Pós-Graduação em Música</t>
  </si>
  <si>
    <t>AUDIOMOSTLY</t>
  </si>
  <si>
    <t>Audio Mostly Conference</t>
  </si>
  <si>
    <t>https://scholar.google.com/citations?hl=en&amp;view_op=search_venues&amp;vq=audiomostly&amp;btnG=</t>
  </si>
  <si>
    <t>CSMC</t>
  </si>
  <si>
    <t>Conference on Computer Simulation of Musical Creativity</t>
  </si>
  <si>
    <t>International CSound Conference</t>
  </si>
  <si>
    <t>MMRP</t>
  </si>
  <si>
    <t>International Workshop on Multilayer Music Representation and Processing</t>
  </si>
  <si>
    <t>AES-ICSA</t>
  </si>
  <si>
    <t>AES International Conference on Semantic Audio</t>
  </si>
  <si>
    <t>AES Brasil</t>
  </si>
  <si>
    <t>Congresso de Engenharia de Áudio da Audio Engineering Society Brasil.</t>
  </si>
  <si>
    <t>UBIMUS</t>
  </si>
  <si>
    <t>Workshop de Música Ubíqua</t>
  </si>
  <si>
    <t>DCASE</t>
  </si>
  <si>
    <t>Workshop on Detection and Classification of Acoustic Scenes and Events</t>
  </si>
  <si>
    <t>TIMBRE</t>
  </si>
  <si>
    <t>Interdisciplinary Workshop on Timbre</t>
  </si>
  <si>
    <t>MCM</t>
  </si>
  <si>
    <t>International Conference on Mathematics and Computation in Music</t>
  </si>
  <si>
    <t>ICPME</t>
  </si>
  <si>
    <t>International Conference on Philosophy, Music and Emotion</t>
  </si>
  <si>
    <t>SYSMUS</t>
  </si>
  <si>
    <t>International Conference of Students of Systematic Musicology</t>
  </si>
  <si>
    <t>https://scholar.google.com.br/citations?view_op=top_venues&amp;hl=pt-BR&amp;vq=eng_artificialintelligence</t>
  </si>
  <si>
    <t>AAAI Conference on Artificial Intelligence</t>
  </si>
  <si>
    <t>https://scholar.google.com.br/citations?hl=pt-BR&amp;vq=eng_artificialintelligence&amp;view_op=list_hcore&amp;venue=PV9sQN5dnPsJ.2019</t>
  </si>
  <si>
    <t>Neural Information Processing Systems (antiga NIPS)</t>
  </si>
  <si>
    <t>https://scholar.google.com.br/citations?hl=pt-BR&amp;vq=eng_artificialintelligence&amp;view_op=list_hcore&amp;venue=eqYFflc_uhEJ.2019</t>
  </si>
  <si>
    <t>https://scholar.google.com.br/citations?hl=pt-BR&amp;vq=eng_artificialintelligence&amp;view_op=list_hcore&amp;venue=wL2oxc9mT4YJ.2019</t>
  </si>
  <si>
    <t>https://scholar.google.com.br/citations?hl=pt-BR&amp;view_op=list_hcore&amp;venue=yWxsQWGuQ-sJ.2016</t>
  </si>
  <si>
    <t>https://scholar.google.com.br/citations?hl=pt-BR&amp;view_op=search_venues&amp;vq=automated+planning&amp;btnG=</t>
  </si>
  <si>
    <t>https://scholar.google.com.br/citations?hl=pt-BR&amp;view_op=list_hcore&amp;venue=ryLBm7fgHNMJ.2019</t>
  </si>
  <si>
    <t>https://scholar.google.com.br/citations?hl=pt-BR&amp;view_op=list_hcore&amp;venue=xLfkTVI4LkMJ.2019</t>
  </si>
  <si>
    <t>https://scholar.google.com/citations?hl=en&amp;view_op=search_venues&amp;vq=Principles+of+Knowledge+Representation+and+Reasoning+%28KR%29&amp;btnG=</t>
  </si>
  <si>
    <t>AISTATS</t>
  </si>
  <si>
    <t>International Conference on Artificial Intelligence and Statistics</t>
  </si>
  <si>
    <t>https://scholar.google.com.br/citations?hl=pt-BR&amp;vq=eng_datamininganalysis&amp;view_op=list_hcore&amp;venue=PhcE9OLs0MUJ.2019</t>
  </si>
  <si>
    <t>IEEE/RSJ Intrernational Conference on Intelligent Robots and Systems</t>
  </si>
  <si>
    <t>https://scholar.google.com/citations?hl=en&amp;vq=eng_robotics&amp;view_op=list_hcore&amp;venue=QZ31s4XlF8EJ.2019</t>
  </si>
  <si>
    <t>https://scholar.google.com.br/citations?hl=pt-BR&amp;view_op=list_hcore&amp;venue=AETH84_wOIQJ.2016","https://scholar.google.com.br/citations?hl=pt-BR&amp;view_op=list_hcore&amp;venue=AETH84_wOIQJ.2016</t>
  </si>
  <si>
    <t>https://scholar.google.com.br/citations?hl=pt-BR&amp;view_op=list_hcore&amp;venue=Yqny2grKwjoJ.2016</t>
  </si>
  <si>
    <t>https://scholar.google.com.br/citations?hl=pt-BR&amp;view_op=list_hcore&amp;venue=6AbX1YWluE4J.2016</t>
  </si>
  <si>
    <t>EMNDKLP</t>
  </si>
  <si>
    <t>https://scholar.google.com/citations?hl=pt-BR&amp;view_op=list_hcore&amp;venue=LqrQjvOguiMJ.2016</t>
  </si>
  <si>
    <t>COLT</t>
  </si>
  <si>
    <t>Conference on Learning Theory</t>
  </si>
  <si>
    <t>https://scholar.google.es/citations?hl=en&amp;vq=eng_artificialintelligence&amp;view_op=list_hcore&amp;venue=z7sajJgd5jIJ.2019</t>
  </si>
  <si>
    <t>https://scholar.google.com.br/citations?hl=pt-BR&amp;view_op=list_hcore&amp;venue=pQVER_ii7sMJ.2019</t>
  </si>
  <si>
    <t>FUZZ</t>
  </si>
  <si>
    <t>https://scholar.google.com.br/citations?hl=pt-BR&amp;view_op=list_hcore&amp;venue=sateOX2Ni50J.2019</t>
  </si>
  <si>
    <t>Brazilian Conference on Intelligent Systems</t>
  </si>
  <si>
    <t>https://scholar.google.com.br/citations?hl=pt-BR&amp;view_op=list_hcore&amp;venue=yH9iueXRcpwJ.2019</t>
  </si>
  <si>
    <t>https://scholar.google.com/citations?hl=pt-BR&amp;view_op=list_hcore&amp;venue=odyMzyvGRsYJ.2016</t>
  </si>
  <si>
    <t>Encontro Nacional de Inteligência Artificial e Computacional</t>
  </si>
  <si>
    <t>Ontology Research in Brazil</t>
  </si>
  <si>
    <t>Artificial Intelligence in Education Conference</t>
  </si>
  <si>
    <t>https://scholar.google.com.br/citations?hl=pt-BR&amp;view_op=list_hcore&amp;venue=l2Fh9zgyJ3sJ.2016</t>
  </si>
  <si>
    <t>https://scholar.google.com.br/citations?hl=pt-BR&amp;view_op=list_hcore&amp;venue=MYDsnnsrUqMJ.2016</t>
  </si>
  <si>
    <t>https://scholar.google.com.br/citations?hl=pt-BR&amp;view_op=list_hcore&amp;venue=CmzPtX9-AxYJ.2016</t>
  </si>
  <si>
    <t>https://scholar.google.com/citations?hl=en&amp;view_op=list_hcore&amp;venue=H0VqPMOxNRAJ.2016</t>
  </si>
  <si>
    <t>ESWC</t>
  </si>
  <si>
    <t>https://scholar.google.com.br/citations?hl=pt-BR&amp;view_op=list_hcore&amp;venue=mf0MeYwvqwoJ.2016</t>
  </si>
  <si>
    <t>RecSYS</t>
  </si>
  <si>
    <t>https://scholar.google.com.br/citations?hl=pt-BR&amp;view_op=list_hcore&amp;venue=4-w_STT7RmEJ.2016</t>
  </si>
  <si>
    <t>ACM International Conference on Knowledge Discovery and Data Mining</t>
  </si>
  <si>
    <t>https://scholar.google.com.br/citations?hl=pt-BR&amp;view_op=list_hcore&amp;venue=DxPOk84pRIIJ.2016</t>
  </si>
  <si>
    <t>https://scholar.google.com.br/citations?hl=pt-BR&amp;view_op=list_hcore&amp;venue=-_BzfdwqRVsJ.2016</t>
  </si>
  <si>
    <t>ACII</t>
  </si>
  <si>
    <t>International Conference on Affective Computing and Intelligent Interaction</t>
  </si>
  <si>
    <t>https://scholar.google.es/citations?hl=en&amp;vq=eng_humancomputerinteraction&amp;view_op=list_hcore&amp;venue=K6EHRjh8bWIJ.2019</t>
  </si>
  <si>
    <t>https://scholar.google.com.br/citations?hl=pt-BR&amp;view_op=list_hcore&amp;venue=xJcGwRURN-YJ.2016</t>
  </si>
  <si>
    <t>https://scholar.google.com.br/citations?hl=pt-BR&amp;view_op=list_hcore&amp;venue=ZwmdWafVLUgJ.2016</t>
  </si>
  <si>
    <t>https://scholar.google.com.br/citations?hl=pt-BR&amp;view_op=list_hcore&amp;venue=YeUok9cdaIEJ.2016</t>
  </si>
  <si>
    <t>SocialCom</t>
  </si>
  <si>
    <t>https://scholar.google.com.br/citations?hl=pt-BR&amp;view_op=list_hcore&amp;venue=7aapB1klPAcJ.2016</t>
  </si>
  <si>
    <t>https://scholar.google.com.br/citations?hl=pt-BR&amp;vq=eng_artificialintelligence&amp;view_op=list_hcore&amp;venue=0032SoU2xY4J.2019</t>
  </si>
  <si>
    <t>International Conference on Machine Learning (ICML)</t>
  </si>
  <si>
    <t>https://scholar.google.com.br/citations?hl=pt-BR&amp;vq=eng_datamininganalysis&amp;view_op=list_hcore&amp;venue=DxPOk84pRIIJ.2019</t>
  </si>
  <si>
    <t>ICDMW</t>
  </si>
  <si>
    <t>IEEE International Conference on Data Mining Workshop (ICDMW)</t>
  </si>
  <si>
    <t>https://scholar.google.com.br/citations?hl=pt-BR&amp;vq=eng_datamininganalysis&amp;view_op=list_hcore&amp;venue=A0l3VPFKwDYJ.2019</t>
  </si>
  <si>
    <t>https://scholar.google.com.br/citations?hl=pt-BR&amp;view_op=list_hcore&amp;venue=-t1SY74YlYcJ.2019</t>
  </si>
  <si>
    <t>European Conference on Machine Learning and Knowledge Discovery in Databases</t>
  </si>
  <si>
    <t>https://scholar.google.com.br/citations?hl=pt-BR&amp;vq=eng_datamininganalysis&amp;view_op=list_hcore&amp;venue=B_DfwWWmEnMJ.2019</t>
  </si>
  <si>
    <t>IEEE International Conference on Fuzzy Systems (FUZZ)</t>
  </si>
  <si>
    <t>https://scholar.google.com.br/citations?view_op=top_venues&amp;hl=pt-BR&amp;vq=eng_evolutionarycomputation</t>
  </si>
  <si>
    <t>International Joint Conference on Artificial Intelligence (IJCAI)</t>
  </si>
  <si>
    <t>https://scholar.google.com.br/citations?hl=pt-BR&amp;vq=eng_datamininganalysis&amp;view_op=list_hcore&amp;venue=4-w_STT7RmEJ.2019</t>
  </si>
  <si>
    <t>https://scholar.google.com.br/citations?hl=pt-BR&amp;vq=eng_datamininganalysis&amp;view_op=list_hcore&amp;venue=eM05sD1nEv4J.2019</t>
  </si>
  <si>
    <t>Pacific-Asia Conference on Knowledge Discovery and Data Mining (PAKDD)</t>
  </si>
  <si>
    <t>https://scholar.google.com.br/citations?hl=pt-BR&amp;vq=eng_datamininganalysis&amp;view_op=list_hcore&amp;venue=I9UJ598p80sJ.2019</t>
  </si>
  <si>
    <t>International Conference on Machine Learning and Applications</t>
  </si>
  <si>
    <t>https://scholar.google.com.br/citations?hl=pt-BR&amp;view_op=list_hcore&amp;venue=jv1gvzv4-LgJ.2019</t>
  </si>
  <si>
    <t>IEEE International Conference on Artificial Intelligence Tools</t>
  </si>
  <si>
    <t>https://scholar.google.com.br/citations?hl=pt-BR&amp;view_op=list_hcore&amp;venue=7SUUxQF2w2cJ.2019</t>
  </si>
  <si>
    <t>BigData</t>
  </si>
  <si>
    <t>https://scholar.google.com.br/citations?hl=pt-BR&amp;view_op=list_hcore&amp;venue=5qcbaE0D5owJ.2020</t>
  </si>
  <si>
    <t>ECML-PKDD</t>
  </si>
  <si>
    <t>European Conference on Machine Learning and Principles and Practice of Knowledge Discovery</t>
  </si>
  <si>
    <t>https://scholar.google.com.br/citations?hl=pt-BR&amp;view_op=list_hcore&amp;venue=Tt40B1pBgEEJ.2020</t>
  </si>
  <si>
    <t>IMPU</t>
  </si>
  <si>
    <t>https://scholar.google.com.br/citations?hl=pt-BR&amp;view_op=list_hcore&amp;venue=DxTMQsOcxf0J.2020</t>
  </si>
  <si>
    <t>https://scholar.google.com/citations?hl=en&amp;vq=eng_humancomputerinteraction&amp;view_op=list_hcore&amp;venue=6NNnGOq9_mAJ.2019</t>
  </si>
  <si>
    <t>ACM Conference on Computer-Supported Cooperative Work and Social Computing</t>
  </si>
  <si>
    <t>https://scholar.google.com/citations?hl=en&amp;vq=eng_humancomputerinteraction&amp;view_op=list_hcore&amp;venue=kXowlNFROIgJ.2019</t>
  </si>
  <si>
    <t>IFIP International Conference on Human-Computer Interaction</t>
  </si>
  <si>
    <t>https://scholar.google.com/citations?hl=en&amp;view_op=list_hcore&amp;venue=6hYO_ZiWs1YJ.2019</t>
  </si>
  <si>
    <t>https://scholar.google.com/citations?hl=en&amp;view_op=list_hcore&amp;venue=c5bgEi18VesJ.2019</t>
  </si>
  <si>
    <t>ACM Intelligent User Interfaces</t>
  </si>
  <si>
    <t>https://scholar.google.com/citations?hl=en&amp;vq=eng_humancomputerinteraction&amp;view_op=list_hcore&amp;venue=-_BzfdwqRVsJ.2019</t>
  </si>
  <si>
    <t>ACM MobileHCI</t>
  </si>
  <si>
    <t>https://scholar.google.com/citations?hl=en&amp;vq=eng_humancomputerinteraction&amp;view_op=list_hcore&amp;venue=FYz8XSTnq6sJ.2019</t>
  </si>
  <si>
    <t>https://scholar.google.com/citations?hl=en&amp;vq=eng_humancomputerinteraction&amp;view_op=list_hcore&amp;venue=vl9z3BzoXrgJ.2019</t>
  </si>
  <si>
    <t>https://scholar.google.com/citations?hl=en&amp;view_op=list_hcore&amp;venue=Y15SCgN8Um8J.2019</t>
  </si>
  <si>
    <t>https://scholar.google.com/citations?hl=en&amp;view_op=list_hcore&amp;venue=TdKRGdqFx4QJ.2019</t>
  </si>
  <si>
    <t>VL/HCC</t>
  </si>
  <si>
    <t>https://scholar.google.com/citations?hl=en&amp;view_op=list_hcore&amp;venue=PDH_h8gpFWsJ.2019</t>
  </si>
  <si>
    <t>ACM Designing Interactive Systems</t>
  </si>
  <si>
    <t>https://scholar.google.com/citations?hl=en&amp;vq=eng_humancomputerinteraction&amp;view_op=list_hcore&amp;venue=NL3siS1OXxYJ.2019</t>
  </si>
  <si>
    <t>ACM International Conference on Tangible, Embedded and Embodied Interactions</t>
  </si>
  <si>
    <t>https://scholar.google.com/citations?hl=en&amp;vq=eng_humancomputerinteraction&amp;view_op=list_hcore&amp;venue=KRPnqF5qBUgJ.2019</t>
  </si>
  <si>
    <t>ACM International Conference on Human Robot Interaction</t>
  </si>
  <si>
    <t>https://scholar.google.com/citations?hl=en&amp;vq=eng_humancomputerinteraction&amp;view_op=list_hcore&amp;venue=D6qw-B7Hrk0J.2019</t>
  </si>
  <si>
    <t>ACM International Conference on Multimodal Interfaces</t>
  </si>
  <si>
    <t>https://scholar.google.com/citations?hl=en&amp;vq=eng_humancomputerinteraction&amp;view_op=list_hcore&amp;venue=FeNM07eYolwJ.2019</t>
  </si>
  <si>
    <t>Ubicomp</t>
  </si>
  <si>
    <t>ACM Conference on Pervasive and Ubiquitous Computing (UbiComp)</t>
  </si>
  <si>
    <t>https://scholar.google.com/citations?hl=en&amp;vq=eng_humancomputerinteraction&amp;view_op=list_hcore&amp;venue=K6EHRjh8bWIJ.2019</t>
  </si>
  <si>
    <t>ACM Interaction Design and Children</t>
  </si>
  <si>
    <t>https://scholar.google.com/citations?hl=en&amp;vq=eng_humancomputerinteraction&amp;view_op=list_hcore&amp;venue=cOPH-2bbPCQJ.2019</t>
  </si>
  <si>
    <t>https://scholar.google.com/citations?hl=en&amp;view_op=list_hcore&amp;venue=yHxohuW00noJ.2019</t>
  </si>
  <si>
    <t>Engineering Interactive Computing Systems</t>
  </si>
  <si>
    <t>https://scholar.google.com/citations?hl=en&amp;view_op=list_hcore&amp;venue=8ZzKUGSn8EwJ.2019</t>
  </si>
  <si>
    <t>Recsys</t>
  </si>
  <si>
    <t>https://scholar.google.com/citations?hl=en&amp;view_op=list_hcore&amp;venue=4-w_STT7RmEJ.2019</t>
  </si>
  <si>
    <t>Computer-Human Interaction of Australia</t>
  </si>
  <si>
    <t>https://scholar.google.com/citations?hl=en&amp;view_op=list_hcore&amp;venue=OZvZzNUF9W0J.2019</t>
  </si>
  <si>
    <t>https://scholar.google.com.br/citations?hl=pt-BR&amp;view_op=list_hcore&amp;venue=sdDHdOPrCVwJ.2019</t>
  </si>
  <si>
    <t>https://scholar.google.com/citations?hl=en&amp;vq=eng_humancomputerinteraction&amp;view_op=list_hcore&amp;venue=v05i1s2aH5wJ.2019</t>
  </si>
  <si>
    <t>Interactive Tabletops and Surfaces</t>
  </si>
  <si>
    <t>https://scholar.google.com/citations?hl=en&amp;view_op=list_hcore&amp;venue=ZWVF6mMMvq0J.2019</t>
  </si>
  <si>
    <t>BCS-HCI</t>
  </si>
  <si>
    <t>Conference of the British Computer Society Human Computer Interaction Specialist Group</t>
  </si>
  <si>
    <t>https://scholar.google.com/citations?hl=en&amp;view_op=list_hcore&amp;venue=ngYXW9AMFV4J.2019</t>
  </si>
  <si>
    <t>https://scholar.google.com/citations?hl=en&amp;view_op=list_hcore&amp;venue=0SkD8-T9-C0J.2019</t>
  </si>
  <si>
    <t>Nordic forum for Human-Computer Interaction</t>
  </si>
  <si>
    <t>https://scholar.google.com/citations?hl=en&amp;view_op=list_hcore&amp;venue=JMsm_h2lofMJ.2019</t>
  </si>
  <si>
    <t>PDC</t>
  </si>
  <si>
    <t>Participatory Design Conference</t>
  </si>
  <si>
    <t>https://scholar.google.com/citations?hl=en&amp;view_op=list_hcore&amp;venue=-nBNAaWmWB0J.2019</t>
  </si>
  <si>
    <t>IHM - Conférence Francophone sur l’Interaction Homme-Machin</t>
  </si>
  <si>
    <t>https://scholar.google.com/citations?hl=en&amp;view_op=list_hcore&amp;venue=tpnKUK5ncB4J.2019</t>
  </si>
  <si>
    <t>https://scholar.google.com/citations?hl=en&amp;view_op=list_hcore&amp;venue=Z4k3y0OWHUwJ.2019</t>
  </si>
  <si>
    <t>ACM CHI PLAY</t>
  </si>
  <si>
    <t>CHI PLAY</t>
  </si>
  <si>
    <t>https://scholar.google.com/citations?hl=en&amp;view_op=list_hcore&amp;venue=WNLxUj5tg3gJ.2019</t>
  </si>
  <si>
    <t>Association for the Advancement of Assistive Technology in Europe Conference</t>
  </si>
  <si>
    <t>User Modeling, Adaptation and Personalization Conference</t>
  </si>
  <si>
    <t>https://scholar.google.com/citations?hl=en&amp;view_op=list_hcore&amp;venue=jtXTIwcBWV8J.2019</t>
  </si>
  <si>
    <t>ACHI</t>
  </si>
  <si>
    <t>https://scholar.google.com/citations?hl=en&amp;view_op=list_hcore&amp;venue=eLhWa3qzEDsJ.2019</t>
  </si>
  <si>
    <t>https://scholar.google.com/citations?hl=en&amp;view_op=list_hcore&amp;venue=pUIVy52VbeEJ.2019</t>
  </si>
  <si>
    <t>Graphics Interface</t>
  </si>
  <si>
    <t>https://scholar.google.com/citations?hl=en&amp;view_op=list_hcore&amp;venue=qeLp-JoraYQJ.2019</t>
  </si>
  <si>
    <t>VECIMS/CIVEMSA</t>
  </si>
  <si>
    <t>IEEE International Conference on Virtual Environments Human-Computer Interfaces and Measurement Systems</t>
  </si>
  <si>
    <t>https://scholar.google.com/citations?hl=en&amp;view_op=list_hcore&amp;venue=SE0J8GWI_bcJ.2019</t>
  </si>
  <si>
    <t>ACM International Conference on Interactive Surfaces and Spaces</t>
  </si>
  <si>
    <t>https://scholar.google.com/citations?hl=en&amp;view_op=list_hcore&amp;venue=js1p_d4DBXkJ.2019</t>
  </si>
  <si>
    <t>International Working Conference on Advanced Visual Interfaces</t>
  </si>
  <si>
    <t>https://scholar.google.com/citations?hl=en&amp;view_op=list_hcore&amp;venue=C6G9iftHmdwJ.2019</t>
  </si>
  <si>
    <t>ACM CC</t>
  </si>
  <si>
    <t>Creativity &amp; Cognition</t>
  </si>
  <si>
    <t>https://scholar.google.com/citations?hl=en&amp;view_op=list_hcore&amp;venue=fckQPrz_q_gJ.2019</t>
  </si>
  <si>
    <t>https://scholar.google.com/citations?hl=en&amp;view_op=list_hcore&amp;venue=6wBd043QhTIJ.2019</t>
  </si>
  <si>
    <t>ACM SIGGRAPH</t>
  </si>
  <si>
    <t>https://scholar.google.com/citations?hl=en&amp;view_op=list_hcore&amp;venue=sZKrImaY-W4J.2019</t>
  </si>
  <si>
    <t>ACM International Conference on Interactive Experiences for TV and Online Video</t>
  </si>
  <si>
    <t>https://scholar.google.com/citations?hl=en&amp;view_op=list_hcore&amp;venue=TXuTxsDBjjgJ.2019</t>
  </si>
  <si>
    <t>https://scholar.google.com.br/citations?hl=pt-BR&amp;view_op=list_hcore&amp;venue=UF-KqO2gwjoJ.2019</t>
  </si>
  <si>
    <t>https://scholar.google.com/citations?hl=en&amp;view_op=list_hcore&amp;venue=QFdzrecfz8sJ.2019</t>
  </si>
  <si>
    <t>SBC Simpósio Brasileiro de Sistemas Multimídia e Web</t>
  </si>
  <si>
    <t>https://scholar.google.com/citations?hl=en&amp;view_op=list_hcore&amp;venue=EL-07Zfxn_kJ.2019</t>
  </si>
  <si>
    <t>https://scholar.google.com.br/citations?hl=pt-BR&amp;view_op=list_hcore&amp;venue=SG3z0BjtZgMJ.2019</t>
  </si>
  <si>
    <t>https://scholar.google.com/citations?hl=en&amp;view_op=list_hcore&amp;venue=qMlBqP1FA1wJ.2019</t>
  </si>
  <si>
    <t>SBC Symposium on Virtual and Augmented Reality</t>
  </si>
  <si>
    <t>IEEE International Symposium on Mixed and Augmented Reality</t>
  </si>
  <si>
    <t>https://scholar.google.com/citations?hl=en&amp;view_op=list_hcore&amp;venue=saKKhfQeF-MJ.2019</t>
  </si>
  <si>
    <t>DG.O</t>
  </si>
  <si>
    <t>https://scholar.google.com.br/citations?hl=pt-BR&amp;view_op=list_hcore&amp;venue=109OuuD55eYJ.2019</t>
  </si>
  <si>
    <t>https://scholar.google.com/citations?hl=en&amp;view_op=list_hcore&amp;venue=nzz9FASca4MJ.2019</t>
  </si>
  <si>
    <t>https://scholar.google.com.br/citations?hl=pt-BR&amp;view_op=list_hcore&amp;venue=RLYEWrcGzrsJ.2019</t>
  </si>
  <si>
    <t>https://scholar.google.com/citations?hl=en&amp;view_op=list_hcore&amp;venue=-QH-Ge-vaUsJ.2019</t>
  </si>
  <si>
    <t>https://scholar.google.com/citations?hl=en&amp;view_op=list_hcore&amp;venue=siDipiW3xQEJ.2019</t>
  </si>
  <si>
    <t>https://scholar.google.com/citations?hl=en&amp;view_op=list_hcore&amp;venue=VV1RRR7eju4J.2019</t>
  </si>
  <si>
    <t>https://scholar.google.com.br/citations?hl=pt-BR&amp;view_op=list_hcore&amp;venue=bJ4MD-xXZLcJ.2019</t>
  </si>
  <si>
    <t>ACM International Conference on Multimodal Interaction</t>
  </si>
  <si>
    <t>https://scholar.google.com/citations?hl=en&amp;view_op=list_hcore&amp;venue=PIZ9zvbRNZEJ.2019</t>
  </si>
  <si>
    <t>ICIV</t>
  </si>
  <si>
    <t>International Conference on Information Visualisation</t>
  </si>
  <si>
    <t>https://scholar.google.com.br/citations?hl=pt-BR&amp;view_op=list_hcore&amp;venue=vRWGetFmuFkJ.2019</t>
  </si>
  <si>
    <t>https://scholar.google.com.br/citations?hl=pt-BR&amp;view_op=list_hcore&amp;venue=HqiGvACsawYJ.2019</t>
  </si>
  <si>
    <t>https://scholar.google.com/citations?hl=en&amp;view_op=list_hcore&amp;venue=zsGWp1QJr3AJ.2019</t>
  </si>
  <si>
    <t>https://scholar.google.com/citations?hl=en&amp;view_op=list_hcore&amp;venue=H0VqPMOxNRAJ.2019</t>
  </si>
  <si>
    <t>https://scholar.google.com/citations?hl=en&amp;view_op=list_hcore&amp;venue=iRTf4ImdsEQJ.2019</t>
  </si>
  <si>
    <t>WAIHCWS</t>
  </si>
  <si>
    <t>Workshop sobre Aspectos da Interação Humano-Computador para a Web Social</t>
  </si>
  <si>
    <t>IFIP International Conference on Informatics and Semiotics in Organisations</t>
  </si>
  <si>
    <t>https://scholar.google.com/citations?hl=en&amp;view_op=list_hcore&amp;venue=seJ96jN95xkJ.2019</t>
  </si>
  <si>
    <t>https://scholar.google.com.br/citations?hl=pt-BR&amp;view_op=list_hcore&amp;venue=0oQi0-PzQ8sJ.2019</t>
  </si>
  <si>
    <t>International Cross-Disciplinary Conference on Web Accessibility</t>
  </si>
  <si>
    <t>https://scholar.google.com/citations?hl=en&amp;view_op=list_hcore&amp;venue=TXeN4Nn46qQJ.2019</t>
  </si>
  <si>
    <t>Hcomp</t>
  </si>
  <si>
    <t>AAAI Conference on Human Computation and Crowdsourcing</t>
  </si>
  <si>
    <t>https://scholar.google.com/citations?hl=en&amp;view_op=list_hcore&amp;venue=qdOiyX83Y5cJ.2019</t>
  </si>
  <si>
    <t>https://scholar.google.com/citations?hl=en&amp;view_op=list_hcore&amp;venue=3p_aXKSTgkEJ.2019</t>
  </si>
  <si>
    <t>Conferencia Latinoamericana En Informatica</t>
  </si>
  <si>
    <t>https://scholar.google.com/citations?hl=en&amp;view_op=list_hcore&amp;venue=ThEGj_a76ZUJ.2019</t>
  </si>
  <si>
    <t>CSBC</t>
  </si>
  <si>
    <t>Congresso da Sociedade Brasileira de Computação</t>
  </si>
  <si>
    <t>Affective Computing and Intelligent Interaction</t>
  </si>
  <si>
    <t>https://scholar.google.com/citations?hl=en&amp;view_op=list_hcore&amp;venue=n8TWwN8Kc5cJ.2019</t>
  </si>
  <si>
    <t>ICCHP</t>
  </si>
  <si>
    <t>International Conference on Computers Helping People with Special Needs</t>
  </si>
  <si>
    <t>https://scholar.google.com/citations?hl=en&amp;view_op=list_hcore&amp;venue=W0UcbMjBS4MJ.2019</t>
  </si>
  <si>
    <t>https://scholar.google.com/citations?hl=en&amp;view_op=list_hcore&amp;venue=Zy6oN9uVoooJ.2019</t>
  </si>
  <si>
    <t>ACM Symposium on Document Engineering</t>
  </si>
  <si>
    <t>https://scholar.google.com/citations?hl=en&amp;view_op=list_hcore&amp;venue=fBneWRb_-8wJ.2019</t>
  </si>
  <si>
    <t>Artificial Intelligence in Education</t>
  </si>
  <si>
    <t>https://scholar.google.com/citations?hl=en&amp;view_op=list_hcore&amp;venue=l2Fh9zgyJ3sJ.2019</t>
  </si>
  <si>
    <t>Electronic Government and the Information Systems Perspective</t>
  </si>
  <si>
    <t>Latin American Web Congress</t>
  </si>
  <si>
    <t>International Working Conference on Human-Centered Software Engineering</t>
  </si>
  <si>
    <t>SI3D</t>
  </si>
  <si>
    <t>Symposium on Interactive 3D Graphics and Games</t>
  </si>
  <si>
    <t>ILA</t>
  </si>
  <si>
    <t>Interaction Latin America</t>
  </si>
  <si>
    <t>ISEA</t>
  </si>
  <si>
    <t>International Symposium on Electronic Arts</t>
  </si>
  <si>
    <t>ABCIBER</t>
  </si>
  <si>
    <t>Congresso Brasileiro de Pesquisadores em Cibercultura</t>
  </si>
  <si>
    <t>CIDI</t>
  </si>
  <si>
    <t>Congresso Internacional de Design da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</si>
</sst>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name val="Cambria"/>
      <family val="1"/>
    </font>
    <font>
      <sz val="11"/>
      <color rgb="FF000000"/>
      <name val="Roboto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0"/>
      <color rgb="FF000000"/>
      <name val="Arial"/>
      <family val="2"/>
    </font>
    <font>
      <sz val="10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color theme="1"/>
      <name val="Arial"/>
      <family val="2"/>
    </font>
    <font>
      <sz val="10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u/>
      <sz val="12"/>
      <color rgb="FF1155CC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222222"/>
      <name val="Calibri Light"/>
      <family val="2"/>
      <scheme val="major"/>
    </font>
    <font>
      <u/>
      <sz val="12"/>
      <color rgb="FF0000FF"/>
      <name val="Calibri Light"/>
      <family val="2"/>
      <scheme val="major"/>
    </font>
    <font>
      <sz val="12"/>
      <color rgb="FF292B2C"/>
      <name val="Calibri Light"/>
      <family val="2"/>
      <scheme val="major"/>
    </font>
    <font>
      <sz val="12"/>
      <color rgb="FF212529"/>
      <name val="Calibri Light"/>
      <family val="2"/>
      <scheme val="major"/>
    </font>
    <font>
      <sz val="12"/>
      <color rgb="FF0F0F16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theme="4" tint="0.79998168889431442"/>
        <bgColor rgb="FF00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9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/>
    <xf numFmtId="0" fontId="10" fillId="0" borderId="0" xfId="0" applyFont="1" applyAlignment="1"/>
    <xf numFmtId="0" fontId="0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5" fillId="0" borderId="0" xfId="0" applyFont="1" applyAlignment="1"/>
    <xf numFmtId="0" fontId="10" fillId="0" borderId="0" xfId="0" applyFont="1" applyAlignment="1">
      <alignment horizontal="center"/>
    </xf>
    <xf numFmtId="0" fontId="15" fillId="0" borderId="0" xfId="0" applyFont="1" applyAlignment="1"/>
    <xf numFmtId="0" fontId="16" fillId="7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21" fillId="0" borderId="0" xfId="0" applyFont="1" applyAlignment="1"/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6" fillId="0" borderId="0" xfId="0" applyFont="1"/>
    <xf numFmtId="0" fontId="24" fillId="5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 wrapText="1"/>
    </xf>
    <xf numFmtId="0" fontId="0" fillId="12" borderId="0" xfId="0" applyFont="1" applyFill="1" applyAlignment="1"/>
    <xf numFmtId="0" fontId="25" fillId="12" borderId="2" xfId="0" applyFont="1" applyFill="1" applyBorder="1" applyAlignment="1">
      <alignment horizontal="center" vertical="center" wrapText="1"/>
    </xf>
    <xf numFmtId="0" fontId="2" fillId="12" borderId="0" xfId="0" applyFont="1" applyFill="1" applyAlignment="1"/>
    <xf numFmtId="0" fontId="24" fillId="12" borderId="2" xfId="0" applyFont="1" applyFill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1" fillId="12" borderId="2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21" fillId="13" borderId="2" xfId="0" applyFont="1" applyFill="1" applyBorder="1" applyAlignment="1">
      <alignment horizontal="center" vertical="center"/>
    </xf>
    <xf numFmtId="0" fontId="0" fillId="12" borderId="1" xfId="0" applyFont="1" applyFill="1" applyBorder="1" applyAlignment="1"/>
    <xf numFmtId="0" fontId="15" fillId="12" borderId="1" xfId="0" applyFont="1" applyFill="1" applyBorder="1" applyAlignment="1"/>
    <xf numFmtId="0" fontId="4" fillId="12" borderId="1" xfId="0" applyFont="1" applyFill="1" applyBorder="1" applyAlignment="1"/>
    <xf numFmtId="0" fontId="3" fillId="12" borderId="1" xfId="0" applyFont="1" applyFill="1" applyBorder="1" applyAlignment="1"/>
    <xf numFmtId="0" fontId="2" fillId="12" borderId="1" xfId="0" applyFont="1" applyFill="1" applyBorder="1" applyAlignment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0" fillId="7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p.at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/citations?hl=en&amp;view_op=list_hcore&amp;venue=UtpXAOWmk9EJ.2020" TargetMode="External"/><Relationship Id="rId13" Type="http://schemas.openxmlformats.org/officeDocument/2006/relationships/hyperlink" Target="https://scholar.google.com/scholar?start=0&amp;q=source:Generative+source:Programming+source:Concepts+source:and+source:Experiences&amp;hl=pt-BR&amp;as_sdt=0,5&amp;as_ylo=2014&amp;as_yhi=2018" TargetMode="External"/><Relationship Id="rId18" Type="http://schemas.openxmlformats.org/officeDocument/2006/relationships/hyperlink" Target="https://scholar.google.com/citations?hl=en&amp;view_op=list_hcore&amp;venue=m0WHmETFb4sJ.2019" TargetMode="External"/><Relationship Id="rId26" Type="http://schemas.openxmlformats.org/officeDocument/2006/relationships/hyperlink" Target="https://scholar.google.com/scholar?start=0&amp;q=source:International+source:Workshop+source:on+source:Software+source:and+source:Compilers+source:for+source:Embedded+source:Systems&amp;hl=pt-BR&amp;as_sdt=0,5&amp;as_ylo=2014&amp;as_yhi=2018" TargetMode="External"/><Relationship Id="rId3" Type="http://schemas.openxmlformats.org/officeDocument/2006/relationships/hyperlink" Target="https://scholar.google.com/citations?hl=en&amp;view_op=list_hcore&amp;venue=QHz4g2YxOYgJ.2019" TargetMode="External"/><Relationship Id="rId21" Type="http://schemas.openxmlformats.org/officeDocument/2006/relationships/hyperlink" Target="https://scholar.google.com/scholar?start=0&amp;q=source:haskell+source:symposium&amp;hl=pt-BR&amp;as_sdt=0,5&amp;as_ylo=2014&amp;as_yhi=2018" TargetMode="External"/><Relationship Id="rId7" Type="http://schemas.openxmlformats.org/officeDocument/2006/relationships/hyperlink" Target="https://scholar.google.com.br/scholar?as_q=&amp;as_epq=&amp;as_oq=&amp;as_eq=&amp;as_occt=any&amp;as_sauthors=&amp;as_publication=International+Conference+on+Compiler+Construction&amp;as_ylo=2014&amp;as_yhi=2018&amp;hl=en&amp;as_sdt=0%2C5" TargetMode="External"/><Relationship Id="rId12" Type="http://schemas.openxmlformats.org/officeDocument/2006/relationships/hyperlink" Target="https://scholar.google.com/scholar?start=20&amp;q=source:languages+source:compilers+source:tools+source:embedded+source:systems&amp;hl=pt-BR&amp;as_sdt=0,5&amp;as_ylo=2014&amp;as_yhi=2018" TargetMode="External"/><Relationship Id="rId17" Type="http://schemas.openxmlformats.org/officeDocument/2006/relationships/hyperlink" Target="https://scholar.google.com/citations?hl=en&amp;view_op=list_hcore&amp;venue=uB4PZkdP_ikJ.2020" TargetMode="External"/><Relationship Id="rId25" Type="http://schemas.openxmlformats.org/officeDocument/2006/relationships/hyperlink" Target="https://scholar.google.com/scholar?start=0&amp;q=source:Dynamic+source:Languages+source:Symposium+source:on&amp;hl=pt-BR&amp;as_sdt=0,5&amp;as_ylo=2014&amp;as_yhi=2018" TargetMode="External"/><Relationship Id="rId2" Type="http://schemas.openxmlformats.org/officeDocument/2006/relationships/hyperlink" Target="https://scholar.google.com/citations?hl=en&amp;view_op=list_hcore&amp;venue=MJmsjXA6rLIJ.2019" TargetMode="External"/><Relationship Id="rId16" Type="http://schemas.openxmlformats.org/officeDocument/2006/relationships/hyperlink" Target="https://scholar.google.com.br/citations?hl=en&amp;view_op=list_hcore&amp;venue=ktOuQEhO-mwJ.2018" TargetMode="External"/><Relationship Id="rId20" Type="http://schemas.openxmlformats.org/officeDocument/2006/relationships/hyperlink" Target="https://scholar.google.com/citations?hl=en&amp;view_op=list_hcore&amp;venue=KlkFB9T8yJEJ.2019" TargetMode="External"/><Relationship Id="rId29" Type="http://schemas.openxmlformats.org/officeDocument/2006/relationships/hyperlink" Target="https://scholar.google.com.br/scholar?start=30&amp;q=source:Forum+source:on+source:Specification+source:Design+source:Languages&amp;hl=en&amp;as_sdt=0,5&amp;as_ylo=2014&amp;as_yhi=2018" TargetMode="External"/><Relationship Id="rId1" Type="http://schemas.openxmlformats.org/officeDocument/2006/relationships/hyperlink" Target="https://scholar.google.com/citations?hl=en&amp;view_op=list_hcore&amp;venue=6CxxSCV0pL8J.2019" TargetMode="External"/><Relationship Id="rId6" Type="http://schemas.openxmlformats.org/officeDocument/2006/relationships/hyperlink" Target="https://scholar.google.com/citations?hl=en&amp;view_op=list_hcore&amp;venue=ol9-bwToVWEJ.2019" TargetMode="External"/><Relationship Id="rId11" Type="http://schemas.openxmlformats.org/officeDocument/2006/relationships/hyperlink" Target="https://scholar.google.com/citations?hl=en&amp;view_op=list_hcore&amp;venue=gvR2lhvj3awJ.2019" TargetMode="External"/><Relationship Id="rId24" Type="http://schemas.openxmlformats.org/officeDocument/2006/relationships/hyperlink" Target="https://scholar.google.com/scholar?as_q=&amp;as_epq=&amp;as_oq=&amp;as_eq=&amp;as_occt=any&amp;as_sauthors=&amp;as_publication=Brazilian+Symposium+on+Programming+Languages&amp;as_ylo=2014&amp;as_yhi=2018&amp;hl=pt-BR&amp;as_sdt=0%2C5" TargetMode="External"/><Relationship Id="rId5" Type="http://schemas.openxmlformats.org/officeDocument/2006/relationships/hyperlink" Target="https://scholar.google.com/citations?hl=en&amp;view_op=list_hcore&amp;venue=uAiqErfInCIJ.2019" TargetMode="External"/><Relationship Id="rId15" Type="http://schemas.openxmlformats.org/officeDocument/2006/relationships/hyperlink" Target="https://scholar.google.com/citations?hl=en&amp;view_op=list_hcore&amp;venue=kLPk-HmRGuYJ.2020" TargetMode="External"/><Relationship Id="rId23" Type="http://schemas.openxmlformats.org/officeDocument/2006/relationships/hyperlink" Target="https://scholar.google.com/scholar?hl=pt-BR&amp;as_sdt=0%2C5&amp;as_ylo=2014&amp;as_yhi=2018&amp;q=source%3A+international+source%3A+conference+source%3Aart+source%3Ascience+source%3Aprogramming&amp;btnG=" TargetMode="External"/><Relationship Id="rId28" Type="http://schemas.openxmlformats.org/officeDocument/2006/relationships/hyperlink" Target="https://scholar.google.com.br/scholar?as_q=&amp;as_epq=&amp;as_oq=&amp;as_eq=&amp;as_occt=any&amp;as_sauthors=&amp;as_publication=Reactive+and+Event+Based&amp;as_ylo=2014&amp;as_yhi=2018&amp;hl=en&amp;as_sdt=0%2C5" TargetMode="External"/><Relationship Id="rId10" Type="http://schemas.openxmlformats.org/officeDocument/2006/relationships/hyperlink" Target="https://scholar.google.com/scholar?as_q=&amp;as_epq=&amp;as_oq=&amp;as_eq=&amp;as_occt=any&amp;as_sauthors=&amp;as_publication=Brazilian+Symposium+on+Programming+Languages&amp;as_ylo=2014&amp;as_yhi=2018&amp;hl=pt-BR&amp;as_sdt=0%2C5" TargetMode="External"/><Relationship Id="rId19" Type="http://schemas.openxmlformats.org/officeDocument/2006/relationships/hyperlink" Target="https://scholar.google.com/citations?hl=en&amp;view_op=list_hcore&amp;venue=dHznF5bq130J.2019" TargetMode="External"/><Relationship Id="rId4" Type="http://schemas.openxmlformats.org/officeDocument/2006/relationships/hyperlink" Target="https://scholar.google.com/citations?hl=en&amp;view_op=list_hcore&amp;venue=k7wjG1erdwwJ.2019" TargetMode="External"/><Relationship Id="rId9" Type="http://schemas.openxmlformats.org/officeDocument/2006/relationships/hyperlink" Target="https://scholar.google.com/citations?hl=en&amp;view_op=list_hcore&amp;venue=JDUQTRUV4EYJ.2019" TargetMode="External"/><Relationship Id="rId14" Type="http://schemas.openxmlformats.org/officeDocument/2006/relationships/hyperlink" Target="https://scholar.google.com.br/citations?hl=en&amp;view_op=list_hcore&amp;venue=gOjRemocSxMJ.2018" TargetMode="External"/><Relationship Id="rId22" Type="http://schemas.openxmlformats.org/officeDocument/2006/relationships/hyperlink" Target="https://scholar.google.com/scholar?start=0&amp;q=source:+international+source:+conference+source:Virtual+source:Execution+source:Environments&amp;hl=pt-BR&amp;as_sdt=0,5&amp;as_ylo=2014&amp;as_yhi=2018" TargetMode="External"/><Relationship Id="rId27" Type="http://schemas.openxmlformats.org/officeDocument/2006/relationships/hyperlink" Target="https://scholar.google.com/scholar?start=0&amp;q=source:INTERNATIONAL+source:CONFERENCE+source:ON+source:COMPILERS+source:ARCHITECTURES+source:AND+source:SYNTHESIS+source:FOR+source:EMBEDDED+source:SYSTEMS&amp;hl=pt-BR&amp;as_sdt=0,5&amp;as_ylo=2014&amp;as_yhi=2018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.br/citations?hl=en&amp;view_op=list_hcore&amp;venue=Nw9VzNrATcAJ.2019" TargetMode="External"/><Relationship Id="rId13" Type="http://schemas.openxmlformats.org/officeDocument/2006/relationships/hyperlink" Target="https://scholar.google.com.br/citations?hl=en&amp;view_op=list_hcore&amp;venue=P_bGcOzNXgIJ.2019" TargetMode="External"/><Relationship Id="rId3" Type="http://schemas.openxmlformats.org/officeDocument/2006/relationships/hyperlink" Target="https://scholar.google.com.br/citations?hl=en&amp;view_op=list_hcore&amp;venue=KaKG4ZSdHz4J.2019" TargetMode="External"/><Relationship Id="rId7" Type="http://schemas.openxmlformats.org/officeDocument/2006/relationships/hyperlink" Target="https://scholar.google.com.br/citations?hl=en&amp;view_op=list_hcore&amp;venue=Gzge6qp3seEJ.2019" TargetMode="External"/><Relationship Id="rId12" Type="http://schemas.openxmlformats.org/officeDocument/2006/relationships/hyperlink" Target="https://scholar.google.com.br/citations?hl=en&amp;view_op=list_hcore&amp;venue=uulzuBwI1mAJ.2019" TargetMode="External"/><Relationship Id="rId17" Type="http://schemas.openxmlformats.org/officeDocument/2006/relationships/hyperlink" Target="https://scholar.google.com.br/citations?hl=en&amp;view_op=list_hcore&amp;venue=WZLpmXhRGDcJ.2019" TargetMode="External"/><Relationship Id="rId2" Type="http://schemas.openxmlformats.org/officeDocument/2006/relationships/hyperlink" Target="https://scholar.google.com.br/citations?hl=en&amp;view_op=list_hcore&amp;venue=_zC9HnSttFIJ.2019" TargetMode="External"/><Relationship Id="rId16" Type="http://schemas.openxmlformats.org/officeDocument/2006/relationships/hyperlink" Target="https://scholar.google.com.br/citations?hl=en&amp;view_op=list_hcore&amp;venue=dC3V1ZRAEU4J.2019" TargetMode="External"/><Relationship Id="rId1" Type="http://schemas.openxmlformats.org/officeDocument/2006/relationships/hyperlink" Target="https://scholar.google.com.br/citations?hl=en&amp;view_op=list_hcore&amp;venue=mvAUTVUvOS0J.2019" TargetMode="External"/><Relationship Id="rId6" Type="http://schemas.openxmlformats.org/officeDocument/2006/relationships/hyperlink" Target="https://scholar.google.com.br/citations?hl=en&amp;view_op=list_hcore&amp;venue=LIYEKQ4Mf5YJ.2019" TargetMode="External"/><Relationship Id="rId11" Type="http://schemas.openxmlformats.org/officeDocument/2006/relationships/hyperlink" Target="https://scholar.google.com.br/citations?hl=en&amp;view_op=list_hcore&amp;venue=foujqxJmEBEJ.2019" TargetMode="External"/><Relationship Id="rId5" Type="http://schemas.openxmlformats.org/officeDocument/2006/relationships/hyperlink" Target="https://scholar.google.com.br/citations?hl=en&amp;view_op=list_hcore&amp;venue=8ADvAx1bYPYJ.2019" TargetMode="External"/><Relationship Id="rId15" Type="http://schemas.openxmlformats.org/officeDocument/2006/relationships/hyperlink" Target="https://scholar.google.com.br/citations?hl=en&amp;view_op=list_hcore&amp;venue=wOH94ungceEJ.2019" TargetMode="External"/><Relationship Id="rId10" Type="http://schemas.openxmlformats.org/officeDocument/2006/relationships/hyperlink" Target="https://scholar.google.com.br/citations?hl=en&amp;view_op=list_hcore&amp;venue=wkpUPIDgNa4J.2019" TargetMode="External"/><Relationship Id="rId4" Type="http://schemas.openxmlformats.org/officeDocument/2006/relationships/hyperlink" Target="https://scholar.google.com.br/citations?hl=en&amp;view_op=list_hcore&amp;venue=s5Z0Q8BPlvwJ.2019" TargetMode="External"/><Relationship Id="rId9" Type="http://schemas.openxmlformats.org/officeDocument/2006/relationships/hyperlink" Target="https://scholar.google.com.br/citations?hl=en&amp;view_op=list_hcore&amp;venue=qgBvh59sjMQJ.2019" TargetMode="External"/><Relationship Id="rId14" Type="http://schemas.openxmlformats.org/officeDocument/2006/relationships/hyperlink" Target="https://scholar.google.com.br/citations?hl=en&amp;view_op=list_hcore&amp;venue=1wsH4YLiPpcJ.2019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/citations?hl=en&amp;view_op=list_hcore&amp;venue=bEdEBGLFMMoJ.2018" TargetMode="External"/><Relationship Id="rId13" Type="http://schemas.openxmlformats.org/officeDocument/2006/relationships/hyperlink" Target="https://scholar.google.com/citations?hl=en&amp;view_op=list_hcore&amp;venue=M9oM2PGejDoJ.2019" TargetMode="External"/><Relationship Id="rId18" Type="http://schemas.openxmlformats.org/officeDocument/2006/relationships/hyperlink" Target="https://scholar.google.com/citations?hl=en&amp;view_op=list_hcore&amp;venue=REeNFlEptmgJ.2018" TargetMode="External"/><Relationship Id="rId26" Type="http://schemas.openxmlformats.org/officeDocument/2006/relationships/hyperlink" Target="https://scholar.google.com/citations?hl=en&amp;view_op=list_hcore&amp;venue=IyEy51GZdIUJ.2019" TargetMode="External"/><Relationship Id="rId3" Type="http://schemas.openxmlformats.org/officeDocument/2006/relationships/hyperlink" Target="https://scholar.google.com/citations?hl=en&amp;view_op=list_hcore&amp;venue=9lG2cY79sEoJ.2018" TargetMode="External"/><Relationship Id="rId21" Type="http://schemas.openxmlformats.org/officeDocument/2006/relationships/hyperlink" Target="https://scholar.google.com/citations?hl=en&amp;view_op=list_hcore&amp;venue=WuJ205lBDckJ.2019" TargetMode="External"/><Relationship Id="rId7" Type="http://schemas.openxmlformats.org/officeDocument/2006/relationships/hyperlink" Target="https://scholar.google.com/citations?hl=en&amp;view_op=list_hcore&amp;venue=H_xY24v1wX8J.2018" TargetMode="External"/><Relationship Id="rId12" Type="http://schemas.openxmlformats.org/officeDocument/2006/relationships/hyperlink" Target="https://scholar.google.com/citations?hl=en&amp;view_op=list_hcore&amp;venue=9932mATgN9kJ.2018" TargetMode="External"/><Relationship Id="rId17" Type="http://schemas.openxmlformats.org/officeDocument/2006/relationships/hyperlink" Target="https://scholar.google.com/citations?hl=en&amp;view_op=list_hcore&amp;venue=VHvULLS5ORIJ.2019" TargetMode="External"/><Relationship Id="rId25" Type="http://schemas.openxmlformats.org/officeDocument/2006/relationships/hyperlink" Target="https://scholar.google.com/citations?hl=en&amp;view_op=list_hcore&amp;venue=oMZjQ-X5R1EJ.2020" TargetMode="External"/><Relationship Id="rId2" Type="http://schemas.openxmlformats.org/officeDocument/2006/relationships/hyperlink" Target="https://scholar.google.com/citations?hl=en&amp;view_op=list_hcore&amp;venue=NejxsCd_fcQJ.2018" TargetMode="External"/><Relationship Id="rId16" Type="http://schemas.openxmlformats.org/officeDocument/2006/relationships/hyperlink" Target="https://scholar.google.com/citations?hl=en&amp;view_op=list_hcore&amp;venue=MGCukPJHrn0J.2019" TargetMode="External"/><Relationship Id="rId20" Type="http://schemas.openxmlformats.org/officeDocument/2006/relationships/hyperlink" Target="https://scholar.google.com/citations?hl=en&amp;view_op=list_hcore&amp;venue=omO5C9pkf-8J.2020" TargetMode="External"/><Relationship Id="rId1" Type="http://schemas.openxmlformats.org/officeDocument/2006/relationships/hyperlink" Target="https://scholar.google.com/citations?hl=en&amp;view_op=list_hcore&amp;venue=egNNr3AJ0DUJ.2018" TargetMode="External"/><Relationship Id="rId6" Type="http://schemas.openxmlformats.org/officeDocument/2006/relationships/hyperlink" Target="https://scholar.google.com/citations?hl=en&amp;view_op=list_hcore&amp;venue=BmGC50v8VqkJ.2018" TargetMode="External"/><Relationship Id="rId11" Type="http://schemas.openxmlformats.org/officeDocument/2006/relationships/hyperlink" Target="https://scholar.google.com/citations?hl=en&amp;view_op=list_hcore&amp;venue=b7Wt8oz6uqAJ.2018" TargetMode="External"/><Relationship Id="rId24" Type="http://schemas.openxmlformats.org/officeDocument/2006/relationships/hyperlink" Target="https://scholar.google.com/citations?hl=en&amp;view_op=list_hcore&amp;venue=Qm-_RD142XUJ.2020" TargetMode="External"/><Relationship Id="rId5" Type="http://schemas.openxmlformats.org/officeDocument/2006/relationships/hyperlink" Target="https://scholar.google.com/citations?hl=en&amp;view_op=list_hcore&amp;venue=sNtxnFuOq5YJ.2018" TargetMode="External"/><Relationship Id="rId15" Type="http://schemas.openxmlformats.org/officeDocument/2006/relationships/hyperlink" Target="https://scholar.google.com/citations?hl=en&amp;view_op=list_hcore&amp;venue=YFgbcWcmuG4J.2019" TargetMode="External"/><Relationship Id="rId23" Type="http://schemas.openxmlformats.org/officeDocument/2006/relationships/hyperlink" Target="https://scholar.google.com/citations?hl=en&amp;view_op=list_hcore&amp;venue=xFmuhcLxNaUJ.2020" TargetMode="External"/><Relationship Id="rId28" Type="http://schemas.openxmlformats.org/officeDocument/2006/relationships/hyperlink" Target="https://scholar.google.com/citations?hl=en&amp;view_op=list_hcore&amp;venue=aEFAi4RU6TEJ.2020" TargetMode="External"/><Relationship Id="rId10" Type="http://schemas.openxmlformats.org/officeDocument/2006/relationships/hyperlink" Target="https://scholar.google.com/citations?hl=en&amp;view_op=list_hcore&amp;venue=OeICmY9lwg4J.2018" TargetMode="External"/><Relationship Id="rId19" Type="http://schemas.openxmlformats.org/officeDocument/2006/relationships/hyperlink" Target="https://scholar.google.com/citations?hl=en&amp;view_op=list_hcore&amp;venue=nuQnbkFkrG0J.2019" TargetMode="External"/><Relationship Id="rId4" Type="http://schemas.openxmlformats.org/officeDocument/2006/relationships/hyperlink" Target="https://scholar.google.com/citations?hl=en&amp;view_op=list_hcore&amp;venue=-jyI22RzDikJ.2018" TargetMode="External"/><Relationship Id="rId9" Type="http://schemas.openxmlformats.org/officeDocument/2006/relationships/hyperlink" Target="https://scholar.google.com/citations?hl=en&amp;view_op=list_hcore&amp;venue=wn0aYglh-KMJ.2018" TargetMode="External"/><Relationship Id="rId14" Type="http://schemas.openxmlformats.org/officeDocument/2006/relationships/hyperlink" Target="https://scholar.google.com/citations?hl=en&amp;view_op=list_hcore&amp;venue=5mM2zjnIDtwJ.2019" TargetMode="External"/><Relationship Id="rId22" Type="http://schemas.openxmlformats.org/officeDocument/2006/relationships/hyperlink" Target="https://scholar.google.com/citations?hl=en&amp;view_op=list_hcore&amp;venue=_nw1GAGIGkEJ.2019" TargetMode="External"/><Relationship Id="rId27" Type="http://schemas.openxmlformats.org/officeDocument/2006/relationships/hyperlink" Target="https://scholar.google.com/citations?hl=en&amp;view_op=list_hcore&amp;venue=3cSHcC5AA7QJ.2020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.br/citations?hl=pt-BR&amp;view_op=list_hcore&amp;venue=pQVER_ii7sMJ.2019" TargetMode="External"/><Relationship Id="rId13" Type="http://schemas.openxmlformats.org/officeDocument/2006/relationships/hyperlink" Target="https://scholar.google.com.br/citations?hl=pt-BR&amp;vq=eng_datamininganalysis&amp;view_op=list_hcore&amp;venue=PhcE9OLs0MUJ.2019" TargetMode="External"/><Relationship Id="rId18" Type="http://schemas.openxmlformats.org/officeDocument/2006/relationships/hyperlink" Target="https://scholar.google.com.br/citations?hl=pt-BR&amp;vq=eng_datamininganalysis&amp;view_op=list_hcore&amp;venue=I9UJ598p80sJ.2019" TargetMode="External"/><Relationship Id="rId26" Type="http://schemas.openxmlformats.org/officeDocument/2006/relationships/hyperlink" Target="https://scholar.google.com.br/citations?hl=pt-BR&amp;view_op=list_hcore&amp;venue=CmzPtX9-AxYJ.2016" TargetMode="External"/><Relationship Id="rId3" Type="http://schemas.openxmlformats.org/officeDocument/2006/relationships/hyperlink" Target="https://scholar.google.com.br/citations?hl=pt-BR&amp;vq=eng_artificialintelligence&amp;view_op=list_hcore&amp;venue=wL2oxc9mT4YJ.2019" TargetMode="External"/><Relationship Id="rId21" Type="http://schemas.openxmlformats.org/officeDocument/2006/relationships/hyperlink" Target="https://scholar.google.com.br/citations?hl=pt-BR&amp;view_op=list_hcore&amp;venue=5qcbaE0D5owJ.2020" TargetMode="External"/><Relationship Id="rId7" Type="http://schemas.openxmlformats.org/officeDocument/2006/relationships/hyperlink" Target="https://scholar.google.com.br/citations?hl=pt-BR&amp;view_op=list_hcore&amp;venue=-t1SY74YlYcJ.2019" TargetMode="External"/><Relationship Id="rId12" Type="http://schemas.openxmlformats.org/officeDocument/2006/relationships/hyperlink" Target="https://scholar.google.com.br/citations?view_op=top_venues&amp;hl=pt-BR&amp;vq=eng_artificialintelligence" TargetMode="External"/><Relationship Id="rId17" Type="http://schemas.openxmlformats.org/officeDocument/2006/relationships/hyperlink" Target="https://scholar.google.com.br/citations?hl=pt-BR&amp;view_op=list_hcore&amp;venue=yH9iueXRcpwJ.2019" TargetMode="External"/><Relationship Id="rId25" Type="http://schemas.openxmlformats.org/officeDocument/2006/relationships/hyperlink" Target="https://scholar.google.com.br/citations?hl=pt-BR&amp;view_op=list_hcore&amp;venue=DxTMQsOcxf0J.2020" TargetMode="External"/><Relationship Id="rId2" Type="http://schemas.openxmlformats.org/officeDocument/2006/relationships/hyperlink" Target="https://scholar.google.com.br/citations?hl=pt-BR&amp;vq=eng_artificialintelligence&amp;view_op=list_hcore&amp;venue=0032SoU2xY4J.2019" TargetMode="External"/><Relationship Id="rId16" Type="http://schemas.openxmlformats.org/officeDocument/2006/relationships/hyperlink" Target="https://scholar.google.com.br/citations?hl=pt-BR&amp;view_op=list_hcore&amp;venue=xLfkTVI4LkMJ.2019" TargetMode="External"/><Relationship Id="rId20" Type="http://schemas.openxmlformats.org/officeDocument/2006/relationships/hyperlink" Target="https://scholar.google.com.br/citations?hl=pt-BR&amp;view_op=list_hcore&amp;venue=7SUUxQF2w2cJ.2019" TargetMode="External"/><Relationship Id="rId1" Type="http://schemas.openxmlformats.org/officeDocument/2006/relationships/hyperlink" Target="https://scholar.google.com.br/citations?hl=pt-BR&amp;vq=eng_artificialintelligence&amp;view_op=list_hcore&amp;venue=eqYFflc_uhEJ.2019" TargetMode="External"/><Relationship Id="rId6" Type="http://schemas.openxmlformats.org/officeDocument/2006/relationships/hyperlink" Target="https://scholar.google.com.br/citations?hl=pt-BR&amp;vq=eng_datamininganalysis&amp;view_op=list_hcore&amp;venue=A0l3VPFKwDYJ.2019" TargetMode="External"/><Relationship Id="rId11" Type="http://schemas.openxmlformats.org/officeDocument/2006/relationships/hyperlink" Target="https://scholar.google.com.br/citations?view_op=top_venues&amp;hl=pt-BR&amp;vq=eng_evolutionarycomputation" TargetMode="External"/><Relationship Id="rId24" Type="http://schemas.openxmlformats.org/officeDocument/2006/relationships/hyperlink" Target="https://scholar.google.com.br/citations?hl=pt-BR&amp;view_op=list_hcore&amp;venue=Tt40B1pBgEEJ.2020" TargetMode="External"/><Relationship Id="rId5" Type="http://schemas.openxmlformats.org/officeDocument/2006/relationships/hyperlink" Target="https://scholar.google.com.br/citations?hl=pt-BR&amp;vq=eng_datamininganalysis&amp;view_op=list_hcore&amp;venue=DxPOk84pRIIJ.2019" TargetMode="External"/><Relationship Id="rId15" Type="http://schemas.openxmlformats.org/officeDocument/2006/relationships/hyperlink" Target="https://scholar.google.com.br/citations?hl=pt-BR&amp;vq=eng_datamininganalysis&amp;view_op=list_hcore&amp;venue=eM05sD1nEv4J.2019" TargetMode="External"/><Relationship Id="rId23" Type="http://schemas.openxmlformats.org/officeDocument/2006/relationships/hyperlink" Target="https://scholar.google.com.br/citations?hl=pt-BR&amp;view_op=list_hcore&amp;venue=xJcGwRURN-YJ.2016" TargetMode="External"/><Relationship Id="rId10" Type="http://schemas.openxmlformats.org/officeDocument/2006/relationships/hyperlink" Target="https://scholar.google.com.br/citations?hl=pt-BR&amp;view_op=list_hcore&amp;venue=sateOX2Ni50J.2019" TargetMode="External"/><Relationship Id="rId19" Type="http://schemas.openxmlformats.org/officeDocument/2006/relationships/hyperlink" Target="https://scholar.google.com.br/citations?hl=pt-BR&amp;view_op=list_hcore&amp;venue=jv1gvzv4-LgJ.2019" TargetMode="External"/><Relationship Id="rId4" Type="http://schemas.openxmlformats.org/officeDocument/2006/relationships/hyperlink" Target="https://scholar.google.com.br/citations?hl=pt-BR&amp;vq=eng_artificialintelligence&amp;view_op=list_hcore&amp;venue=PV9sQN5dnPsJ.2019" TargetMode="External"/><Relationship Id="rId9" Type="http://schemas.openxmlformats.org/officeDocument/2006/relationships/hyperlink" Target="https://scholar.google.com.br/citations?hl=pt-BR&amp;vq=eng_datamininganalysis&amp;view_op=list_hcore&amp;venue=B_DfwWWmEnMJ.2019" TargetMode="External"/><Relationship Id="rId14" Type="http://schemas.openxmlformats.org/officeDocument/2006/relationships/hyperlink" Target="https://scholar.google.com.br/citations?hl=pt-BR&amp;vq=eng_datamininganalysis&amp;view_op=list_hcore&amp;venue=4-w_STT7RmEJ.2019" TargetMode="External"/><Relationship Id="rId22" Type="http://schemas.openxmlformats.org/officeDocument/2006/relationships/hyperlink" Target="https://scholar.google.com.br/citations?hl=pt-BR&amp;view_op=list_hcore&amp;venue=ryLBm7fgHNMJ.2019" TargetMode="External"/><Relationship Id="rId27" Type="http://schemas.openxmlformats.org/officeDocument/2006/relationships/hyperlink" Target="https://scholar.google.com/citations?hl=en&amp;vq=eng_robotics&amp;view_op=list_hcore&amp;venue=QZ31s4XlF8EJ.2019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scholar.google.com.br/citations?hl=pt-BR&amp;view_op=list_hcore&amp;venue=bJ4MD-xXZLcJ.2019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.br/citations?hl=pt-BR&amp;view_op=list_hcore&amp;venue=nnrJuCTuhnwJ.2019" TargetMode="External"/><Relationship Id="rId13" Type="http://schemas.openxmlformats.org/officeDocument/2006/relationships/hyperlink" Target="https://scholar.google.com.br/citations?hl=pt-BR&amp;vq=eng_artificialintelligence&amp;view_op=list_hcore&amp;venue=4HxsSu0PUdYJ.2019" TargetMode="External"/><Relationship Id="rId3" Type="http://schemas.openxmlformats.org/officeDocument/2006/relationships/hyperlink" Target="https://scholar.google.com.br/citations?hl=pt-BR&amp;vq=eng_computationallinguistics&amp;view_op=list_hcore&amp;venue=JnFTLT-D1FUJ.2019" TargetMode="External"/><Relationship Id="rId7" Type="http://schemas.openxmlformats.org/officeDocument/2006/relationships/hyperlink" Target="https://scholar.google.com.br/citations?hl=pt-BR&amp;vq=eng_computationallinguistics&amp;view_op=list_hcore&amp;venue=qf6JB6yXg1UJ.2019" TargetMode="External"/><Relationship Id="rId12" Type="http://schemas.openxmlformats.org/officeDocument/2006/relationships/hyperlink" Target="https://scholar.google.com.br/citations?hl=pt-BR&amp;vq=eng_computationallinguistics&amp;view_op=list_hcore&amp;venue=9-0ktENZUpkJ.2019" TargetMode="External"/><Relationship Id="rId2" Type="http://schemas.openxmlformats.org/officeDocument/2006/relationships/hyperlink" Target="https://scholar.google.com.br/citations?hl=pt-BR&amp;view_op=list_hcore&amp;venue=ORSK3meVbY4J.2019" TargetMode="External"/><Relationship Id="rId1" Type="http://schemas.openxmlformats.org/officeDocument/2006/relationships/hyperlink" Target="https://scholar.google.com.br/citations?hl=pt-BR&amp;vq=eng_computationallinguistics&amp;view_op=list_hcore&amp;venue=Y3UjV9bSCxMJ.2019" TargetMode="External"/><Relationship Id="rId6" Type="http://schemas.openxmlformats.org/officeDocument/2006/relationships/hyperlink" Target="https://scholar.google.com.br/citations?hl=pt-BR&amp;vq=eng_computationallinguistics&amp;view_op=list_hcore&amp;venue=H7TUtVM_vm4J.2019" TargetMode="External"/><Relationship Id="rId11" Type="http://schemas.openxmlformats.org/officeDocument/2006/relationships/hyperlink" Target="https://scholar.google.com.br/citations?hl=pt-BR&amp;view_op=list_hcore&amp;venue=NVceRfB9aaoJ.2019" TargetMode="External"/><Relationship Id="rId5" Type="http://schemas.openxmlformats.org/officeDocument/2006/relationships/hyperlink" Target="https://scholar.google.com.br/citations?hl=pt-BR&amp;vq=eng_computationallinguistics&amp;view_op=list_hcore&amp;venue=LqrQjvOguiMJ.2019" TargetMode="External"/><Relationship Id="rId10" Type="http://schemas.openxmlformats.org/officeDocument/2006/relationships/hyperlink" Target="https://scholar.google.com.br/citations?hl=pt-BR&amp;view_op=list_hcore&amp;venue=ChOJoaYoBoAJ.2019" TargetMode="External"/><Relationship Id="rId4" Type="http://schemas.openxmlformats.org/officeDocument/2006/relationships/hyperlink" Target="https://scholar.google.com.br/citations?hl=pt-BR&amp;vq=eng_computationallinguistics&amp;view_op=list_hcore&amp;venue=6AfzgED5a7MJ.2019" TargetMode="External"/><Relationship Id="rId9" Type="http://schemas.openxmlformats.org/officeDocument/2006/relationships/hyperlink" Target="https://scholar.google.com.br/citations?hl=pt-BR&amp;vq=eng_artificialintelligence&amp;view_op=list_hcore&amp;venue=PV9sQN5dnPsJ.2019" TargetMode="External"/><Relationship Id="rId14" Type="http://schemas.openxmlformats.org/officeDocument/2006/relationships/hyperlink" Target="https://scholar.google.com.br/citations?hl=pt-BR&amp;view_op=list_hcore&amp;venue=Gf4FWVmkfbwJ.2019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.br/citations?hl=pt-BR&amp;view_op=search_venues&amp;vq=icwsm&amp;btnG=" TargetMode="External"/><Relationship Id="rId13" Type="http://schemas.openxmlformats.org/officeDocument/2006/relationships/hyperlink" Target="https://scholar.google.com.br/citations?hl=pt-BR&amp;view_op=search_venues&amp;vq=collaboratecom&amp;btnG=" TargetMode="External"/><Relationship Id="rId18" Type="http://schemas.openxmlformats.org/officeDocument/2006/relationships/hyperlink" Target="https://scholar.google.com.br/citations?hl=pt-BR&amp;view_op=list_hcore&amp;venue=kYDZP1q0-MAJ.2020" TargetMode="External"/><Relationship Id="rId3" Type="http://schemas.openxmlformats.org/officeDocument/2006/relationships/hyperlink" Target="https://scholar.google.com.br/citations?hl=pt-BR&amp;view_op=search_venues&amp;vq=+International+Conference+on+Supporting+Group+Work&amp;btnG=" TargetMode="External"/><Relationship Id="rId7" Type="http://schemas.openxmlformats.org/officeDocument/2006/relationships/hyperlink" Target="https://scholar.google.com.br/citations?hl=pt-BR&amp;view_op=search_venues&amp;vq=IEEE+Conference+Systems+Man+Cybernetic&amp;btnG=" TargetMode="External"/><Relationship Id="rId12" Type="http://schemas.openxmlformats.org/officeDocument/2006/relationships/hyperlink" Target="https://scholar.google.com.br/citations?hl=pt-BR&amp;view_op=search_venues&amp;vq=Hawaii+International+Conference+on+System+Sciences&amp;btnG=" TargetMode="External"/><Relationship Id="rId17" Type="http://schemas.openxmlformats.org/officeDocument/2006/relationships/hyperlink" Target="https://scholar.google.com.br/citations?hl=pt-BR&amp;view_op=search_venues&amp;vq=Tangible&amp;btnG=" TargetMode="External"/><Relationship Id="rId2" Type="http://schemas.openxmlformats.org/officeDocument/2006/relationships/hyperlink" Target="https://scholar.google.com.br/citations?hl=pt-BR&amp;view_op=search_venues&amp;vq=%C2%A0CHI&amp;btnG=" TargetMode="External"/><Relationship Id="rId16" Type="http://schemas.openxmlformats.org/officeDocument/2006/relationships/hyperlink" Target="https://scholar.google.com.br/citations?hl=pt-BR&amp;view_op=search_venues&amp;vq=International+Symposium+on+Open+Collaboration&amp;btnG=" TargetMode="External"/><Relationship Id="rId1" Type="http://schemas.openxmlformats.org/officeDocument/2006/relationships/hyperlink" Target="https://scholar.google.com.br/citations?hl=pt-BR&amp;view_op=search_venues&amp;vq=Conference+on+Computer+Supported+Cooperative+Work+%26+Social+Computing&amp;btnG=" TargetMode="External"/><Relationship Id="rId6" Type="http://schemas.openxmlformats.org/officeDocument/2006/relationships/hyperlink" Target="https://scholar.google.com.br/citations?hl=pt-BR&amp;view_op=search_venues&amp;vq=CSCWD&amp;btnG=" TargetMode="External"/><Relationship Id="rId11" Type="http://schemas.openxmlformats.org/officeDocument/2006/relationships/hyperlink" Target="https://scholar.google.com.br/citations?hl=pt-BR&amp;view_op=search_venues&amp;vq=AAAI+Conference+on+Human+Computation+and+Crowdsourcing&amp;btnG=" TargetMode="External"/><Relationship Id="rId5" Type="http://schemas.openxmlformats.org/officeDocument/2006/relationships/hyperlink" Target="https://scholar.google.com.br/citations?hl=pt-BR&amp;view_op=search_venues&amp;vq=+International+Conference+on+Computer+Supported+Collaborative+Learning&amp;btnG=" TargetMode="External"/><Relationship Id="rId15" Type="http://schemas.openxmlformats.org/officeDocument/2006/relationships/hyperlink" Target="https://scholar.google.com.br/citations?hl=pt-BR&amp;view_op=search_venues&amp;vq=+International+Conference+on+Intelligent+Networking+and+Collaborative+Systems&amp;btnG=" TargetMode="External"/><Relationship Id="rId10" Type="http://schemas.openxmlformats.org/officeDocument/2006/relationships/hyperlink" Target="https://scholar.google.com.br/citations?hl=pt-BR&amp;view_op=search_venues&amp;vq=International+Workshop+on+Cooperative+and+Human+Aspects+of+Software+Engineering&amp;btnG=" TargetMode="External"/><Relationship Id="rId19" Type="http://schemas.openxmlformats.org/officeDocument/2006/relationships/hyperlink" Target="https://scholar.google.com.br/citations?hl=pt-BR&amp;view_op=search_venues&amp;vq=+CRIWG&amp;btnG=" TargetMode="External"/><Relationship Id="rId4" Type="http://schemas.openxmlformats.org/officeDocument/2006/relationships/hyperlink" Target="https://scholar.google.com.br/citations?hl=pt-BR&amp;view_op=search_venues&amp;vq=ECSCW&amp;btnG=" TargetMode="External"/><Relationship Id="rId9" Type="http://schemas.openxmlformats.org/officeDocument/2006/relationships/hyperlink" Target="https://scholar.google.com.br/citations?hl=pt-BR&amp;view_op=search_venues&amp;vq=Communities+and+Technologies&amp;btnG=" TargetMode="External"/><Relationship Id="rId14" Type="http://schemas.openxmlformats.org/officeDocument/2006/relationships/hyperlink" Target="https://scholar.google.com.br/citations?hl=pt-BR&amp;view_op=search_venues&amp;vq=Cooperative+Design%2C+Visualization%2C+and+Engineering&amp;btnG=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https://scholar.google.com/citations?hl=pt-BR&amp;view_op=list_hcore&amp;venue=UYzshLpmx2EJ.2019" TargetMode="External"/><Relationship Id="rId18" Type="http://schemas.openxmlformats.org/officeDocument/2006/relationships/hyperlink" Target="https://scholar.google.com/citations?hl=en&amp;view_op=list_hcore&amp;venue=TXeN4Nn46qQJ.2019" TargetMode="External"/><Relationship Id="rId26" Type="http://schemas.openxmlformats.org/officeDocument/2006/relationships/hyperlink" Target="https://scholar.google.com/citations?hl=pt-BR&amp;view_op=list_hcore&amp;venue=N_9FWgf0qxMJ.2019" TargetMode="External"/><Relationship Id="rId21" Type="http://schemas.openxmlformats.org/officeDocument/2006/relationships/hyperlink" Target="https://scholar.google.com/citations?hl=pt-BR&amp;view_op=list_hcore&amp;venue=kXowlNFROIgJ.2019" TargetMode="External"/><Relationship Id="rId34" Type="http://schemas.openxmlformats.org/officeDocument/2006/relationships/hyperlink" Target="https://scholar.google.com/citations?hl=pt-BR&amp;view_op=list_hcore&amp;venue=PZoAL1XKdJoJ.2019" TargetMode="External"/><Relationship Id="rId7" Type="http://schemas.openxmlformats.org/officeDocument/2006/relationships/hyperlink" Target="https://scholar.google.com/citations?hl=pt-BR&amp;view_op=list_hcore&amp;venue=csTrlFozg_IJ.2020" TargetMode="External"/><Relationship Id="rId12" Type="http://schemas.openxmlformats.org/officeDocument/2006/relationships/hyperlink" Target="https://scholar.google.com/citations?hl=pt-BR&amp;view_op=list_hcore&amp;venue=U4LFuNlM8GMJ.2019" TargetMode="External"/><Relationship Id="rId17" Type="http://schemas.openxmlformats.org/officeDocument/2006/relationships/hyperlink" Target="https://scholar.google.com/citations?hl=pt-BR&amp;view_op=list_hcore&amp;venue=np9OvZCkWLIJ.2019" TargetMode="External"/><Relationship Id="rId25" Type="http://schemas.openxmlformats.org/officeDocument/2006/relationships/hyperlink" Target="https://scholar.google.com/citations?hl=pt-BR&amp;view_op=list_hcore&amp;venue=Yh-Vy_bHNYMJ.2020" TargetMode="External"/><Relationship Id="rId33" Type="http://schemas.openxmlformats.org/officeDocument/2006/relationships/hyperlink" Target="https://scholar.google.com/citations?hl=pt-BR&amp;view_op=list_hcore&amp;venue=ZC8PGgykt-EJ.2019" TargetMode="External"/><Relationship Id="rId2" Type="http://schemas.openxmlformats.org/officeDocument/2006/relationships/hyperlink" Target="https://scholar.google.com/citations?hl=pt-BR&amp;view_op=list_hcore&amp;venue=vKMrxyJUpv0J.2020" TargetMode="External"/><Relationship Id="rId16" Type="http://schemas.openxmlformats.org/officeDocument/2006/relationships/hyperlink" Target="https://scholar.google.com/citations?hl=pt-BR&amp;view_op=list_hcore&amp;venue=I8L8xmsrq2EJ.2019" TargetMode="External"/><Relationship Id="rId20" Type="http://schemas.openxmlformats.org/officeDocument/2006/relationships/hyperlink" Target="https://scholar.google.com/citations?hl=pt-BR&amp;view_op=list_hcore&amp;venue=Nb-CRah8-lcJ.2019" TargetMode="External"/><Relationship Id="rId29" Type="http://schemas.openxmlformats.org/officeDocument/2006/relationships/hyperlink" Target="https://scholar.google.com.br/citations?hl=en&amp;view_op=list_hcore&amp;venue=VXpZxWaAe0QJ.2019" TargetMode="External"/><Relationship Id="rId1" Type="http://schemas.openxmlformats.org/officeDocument/2006/relationships/hyperlink" Target="https://scholar.google.com.br/citations?hl=en&amp;view_op=list_hcore&amp;venue=VtCeQ7ShDloJ.2020" TargetMode="External"/><Relationship Id="rId6" Type="http://schemas.openxmlformats.org/officeDocument/2006/relationships/hyperlink" Target="https://scholar.google.com.br/citations?hl=en&amp;view_op=list_hcore&amp;venue=EL-07Zfxn_kJ.2020" TargetMode="External"/><Relationship Id="rId11" Type="http://schemas.openxmlformats.org/officeDocument/2006/relationships/hyperlink" Target="https://scholar.google.com/citations?hl=pt-BR&amp;view_op=list_hcore&amp;venue=dpWPf1oNwIgJ.2020" TargetMode="External"/><Relationship Id="rId24" Type="http://schemas.openxmlformats.org/officeDocument/2006/relationships/hyperlink" Target="https://scholar.google.com/citations?hl=pt-BR&amp;view_op=list_hcore&amp;venue=dpWPf1oNwIgJ.2020" TargetMode="External"/><Relationship Id="rId32" Type="http://schemas.openxmlformats.org/officeDocument/2006/relationships/hyperlink" Target="https://scholar.google.com.br/citations?hl=en&amp;view_op=list_hcore&amp;venue=nZ1bm2kqGmUJ.2019" TargetMode="External"/><Relationship Id="rId37" Type="http://schemas.openxmlformats.org/officeDocument/2006/relationships/hyperlink" Target="https://scholar.google.com/citations?hl=pt-BR&amp;view_op=list_hcore&amp;venue=vaFgnAHDc38J.2021" TargetMode="External"/><Relationship Id="rId5" Type="http://schemas.openxmlformats.org/officeDocument/2006/relationships/hyperlink" Target="https://scholar.google.com/citations?hl=pt-BR&amp;view_op=list_hcore&amp;venue=4-w_STT7RmEJ.2020" TargetMode="External"/><Relationship Id="rId15" Type="http://schemas.openxmlformats.org/officeDocument/2006/relationships/hyperlink" Target="https://scholar.google.com/citations?hl=pt-BR&amp;view_op=list_hcore&amp;venue=TXuTxsDBjjgJ.2019" TargetMode="External"/><Relationship Id="rId23" Type="http://schemas.openxmlformats.org/officeDocument/2006/relationships/hyperlink" Target="https://scholar.google.com/citations?hl=pt-BR&amp;view_op=list_hcore&amp;venue=jtXTIwcBWV8J.2019" TargetMode="External"/><Relationship Id="rId28" Type="http://schemas.openxmlformats.org/officeDocument/2006/relationships/hyperlink" Target="https://scholar.google.com.br/citations?hl=en&amp;view_op=list_hcore&amp;venue=uCHdYLLURp0J.2020" TargetMode="External"/><Relationship Id="rId36" Type="http://schemas.openxmlformats.org/officeDocument/2006/relationships/hyperlink" Target="https://scholar.google.com/citations?hl=pt-BR&amp;view_op=list_hcore&amp;venue=eLhWa3qzEDsJ.2020" TargetMode="External"/><Relationship Id="rId10" Type="http://schemas.openxmlformats.org/officeDocument/2006/relationships/hyperlink" Target="https://scholar.google.com.br/citations?hl=en&amp;view_op=list_hcore&amp;venue=bEDbANOodwgJ.2020" TargetMode="External"/><Relationship Id="rId19" Type="http://schemas.openxmlformats.org/officeDocument/2006/relationships/hyperlink" Target="https://scholar.google.com/citations?hl=pt-BR&amp;view_op=list_hcore&amp;venue=fBneWRb_-8wJ.2020" TargetMode="External"/><Relationship Id="rId31" Type="http://schemas.openxmlformats.org/officeDocument/2006/relationships/hyperlink" Target="https://scholar.google.com.br/citations?hl=en&amp;view_op=list_hcore&amp;venue=O90WS0zZyBYJ.2019" TargetMode="External"/><Relationship Id="rId4" Type="http://schemas.openxmlformats.org/officeDocument/2006/relationships/hyperlink" Target="https://scholar.google.com/citations?hl=pt-BR&amp;view_op=list_hcore&amp;venue=6AbX1YWluE4J.2020" TargetMode="External"/><Relationship Id="rId9" Type="http://schemas.openxmlformats.org/officeDocument/2006/relationships/hyperlink" Target="https://scholar.google.com/citations?hl=pt-BR&amp;view_op=list_hcore&amp;venue=iRTf4ImdsEQJ.2020" TargetMode="External"/><Relationship Id="rId14" Type="http://schemas.openxmlformats.org/officeDocument/2006/relationships/hyperlink" Target="https://scholar.google.com/citations?hl=pt-BR&amp;view_op=list_hcore&amp;venue=Yk_rZmw8Ul4J.2019" TargetMode="External"/><Relationship Id="rId22" Type="http://schemas.openxmlformats.org/officeDocument/2006/relationships/hyperlink" Target="https://scholar.google.com/citations?hl=pt-BR&amp;view_op=list_hcore&amp;venue=mf0MeYwvqwoJ.2019" TargetMode="External"/><Relationship Id="rId27" Type="http://schemas.openxmlformats.org/officeDocument/2006/relationships/hyperlink" Target="https://scholar.google.com/citations?hl=pt-BR&amp;view_op=list_hcore&amp;venue=K9DmX5xQU-YJ.2020" TargetMode="External"/><Relationship Id="rId30" Type="http://schemas.openxmlformats.org/officeDocument/2006/relationships/hyperlink" Target="https://scholar.google.com.br/citations?hl=en&amp;view_op=list_hcore&amp;venue=_45azmq7lgwJ.2019" TargetMode="External"/><Relationship Id="rId35" Type="http://schemas.openxmlformats.org/officeDocument/2006/relationships/hyperlink" Target="https://scholar.google.com/citations?hl=pt-BR&amp;view_op=list_hcore&amp;venue=DOUIAOEhqWUJ.2019" TargetMode="External"/><Relationship Id="rId8" Type="http://schemas.openxmlformats.org/officeDocument/2006/relationships/hyperlink" Target="https://scholar.google.com/citations?hl=pt-BR&amp;view_op=list_hcore&amp;venue=_3Q9NfFmueMJ.2020" TargetMode="External"/><Relationship Id="rId3" Type="http://schemas.openxmlformats.org/officeDocument/2006/relationships/hyperlink" Target="https://scholar.google.com/citations?hl=pt-BR&amp;view_op=list_hcore&amp;venue=K6EHRjh8bWIJ.2020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.br/citations?hl=pt-BR&amp;view_op=list_hcore&amp;venue=4UqKsV2ndCsJ.2019" TargetMode="External"/><Relationship Id="rId13" Type="http://schemas.openxmlformats.org/officeDocument/2006/relationships/hyperlink" Target="https://scholar.google.com.br/citations?hl=pt-BR&amp;view_op=list_hcore&amp;venue=ATrEHhPJ3nAJ.2019" TargetMode="External"/><Relationship Id="rId3" Type="http://schemas.openxmlformats.org/officeDocument/2006/relationships/hyperlink" Target="https://scholar.google.com.br/citations?hl=pt-BR&amp;view_op=list_hcore&amp;venue=_hlLpveVAGkJ.2019" TargetMode="External"/><Relationship Id="rId7" Type="http://schemas.openxmlformats.org/officeDocument/2006/relationships/hyperlink" Target="https://scholar.google.com.br/citations?hl=pt-BR&amp;view_op=list_hcore&amp;venue=2aIQ9fxzrwkJ.2019" TargetMode="External"/><Relationship Id="rId12" Type="http://schemas.openxmlformats.org/officeDocument/2006/relationships/hyperlink" Target="https://scholar.google.com.br/citations?hl=pt-BR&amp;view_op=list_hcore&amp;venue=myyzaHpq32QJ.2019" TargetMode="External"/><Relationship Id="rId17" Type="http://schemas.openxmlformats.org/officeDocument/2006/relationships/hyperlink" Target="https://scholar.google.com.br/citations?hl=pt-BR&amp;view_op=list_hcore&amp;venue=PIZ9zvbRNZEJ.2019" TargetMode="External"/><Relationship Id="rId2" Type="http://schemas.openxmlformats.org/officeDocument/2006/relationships/hyperlink" Target="https://scholar.google.com.br/citations?hl=pt-BR&amp;view_op=list_hcore&amp;venue=HU8fT-f-Q8YJ.2018" TargetMode="External"/><Relationship Id="rId16" Type="http://schemas.openxmlformats.org/officeDocument/2006/relationships/hyperlink" Target="https://scholar.google.com.br/citations?hl=pt-BR&amp;view_op=search_venues&amp;vq=%22computer+graphics+international%22&amp;btnG=" TargetMode="External"/><Relationship Id="rId1" Type="http://schemas.openxmlformats.org/officeDocument/2006/relationships/hyperlink" Target="https://scholar.google.com.br/citations?hl=pt-BR&amp;view_op=list_hcore&amp;venue=WNLxUj5tg3gJ.2019" TargetMode="External"/><Relationship Id="rId6" Type="http://schemas.openxmlformats.org/officeDocument/2006/relationships/hyperlink" Target="https://scholar.google.es/citations?hl=en&amp;view_op=list_hcore&amp;venue=zY3wJo2P1ggJ.2019" TargetMode="External"/><Relationship Id="rId11" Type="http://schemas.openxmlformats.org/officeDocument/2006/relationships/hyperlink" Target="https://scholar.google.com.br/citations?hl=pt-BR&amp;view_op=list_hcore&amp;venue=Kww2Vi43eP0J.2019" TargetMode="External"/><Relationship Id="rId5" Type="http://schemas.openxmlformats.org/officeDocument/2006/relationships/hyperlink" Target="https://scholar.google.com.br/citations?hl=pt-BR&amp;view_op=list_hcore&amp;venue=Zy6oN9uVoooJ.2019" TargetMode="External"/><Relationship Id="rId15" Type="http://schemas.openxmlformats.org/officeDocument/2006/relationships/hyperlink" Target="https://scholar.google.com.br/citations?hl=pt-BR&amp;view_op=search_venues&amp;vq=%22computer+Animation+and+virtual%22&amp;btnG=" TargetMode="External"/><Relationship Id="rId10" Type="http://schemas.openxmlformats.org/officeDocument/2006/relationships/hyperlink" Target="https://scholar.google.com/scholar?hl=pt-BR&amp;as_sdt=0%2C5&amp;as_ylo=2014&amp;as_yhi=2018&amp;q=sbgames%2Bsimp%C3%B3sio+brasileiro+de+jogos+e+entretenimento+digital%2Bbrazilian+symposium+on+games+and+entertainment+computing&amp;btnG=" TargetMode="External"/><Relationship Id="rId4" Type="http://schemas.openxmlformats.org/officeDocument/2006/relationships/hyperlink" Target="https://scholar.google.com.br/citations?hl=pt-BR&amp;view_op=list_hcore&amp;venue=5m22OTMIZYcJ.2019" TargetMode="External"/><Relationship Id="rId9" Type="http://schemas.openxmlformats.org/officeDocument/2006/relationships/hyperlink" Target="https://scholar.google.com.br/citations?hl=pt-BR&amp;view_op=list_hcore&amp;venue=a-8QqJpEkyYJ.2019" TargetMode="External"/><Relationship Id="rId14" Type="http://schemas.openxmlformats.org/officeDocument/2006/relationships/hyperlink" Target="https://scholar.google.com.br/citations?hl=pt-BR&amp;view_op=list_hcore&amp;venue=GW3dXd7lzJ8J.2019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.br/citations?hl=pt-BR&amp;view_op=list_hcore&amp;venue=BQO9C9sz1x8J.2018" TargetMode="External"/><Relationship Id="rId3" Type="http://schemas.openxmlformats.org/officeDocument/2006/relationships/hyperlink" Target="https://scholar.google.com.br/citations?hl=pt-BR&amp;view_op=list_hcore&amp;venue=fPsj9z0U6p8J.2018" TargetMode="External"/><Relationship Id="rId7" Type="http://schemas.openxmlformats.org/officeDocument/2006/relationships/hyperlink" Target="https://scholar.google.com/citations?hl=pt-BR&amp;user=t3gdFq0AAAAJ&amp;authuser=1&amp;gmla=AJsN-F6LBnjLXtQd-yh39j9RHYHOIsgXmARp2aXa-w-n6ht-ZspeY_ZLXmlvcUlZnpF9t9Y6VbbdXJCOwtaExL8C7awFyoOie5bAayVQdxS-Ln3RDO9Pie4" TargetMode="External"/><Relationship Id="rId2" Type="http://schemas.openxmlformats.org/officeDocument/2006/relationships/hyperlink" Target="https://scholar.google.com.br/citations?hl=pt-BR&amp;view_op=list_hcore&amp;venue=g1IeG8tN8KAJ.2018" TargetMode="External"/><Relationship Id="rId1" Type="http://schemas.openxmlformats.org/officeDocument/2006/relationships/hyperlink" Target="https://scholar.google.com.br/citations?hl=pt-BR&amp;view_op=list_hcore&amp;venue=o8w3q5IHx5MJ.2018" TargetMode="External"/><Relationship Id="rId6" Type="http://schemas.openxmlformats.org/officeDocument/2006/relationships/hyperlink" Target="https://scholar.google.com.br/citations?hl=pt-BR&amp;view_op=list_hcore&amp;venue=wB6WaEpFlvgJ.2018" TargetMode="External"/><Relationship Id="rId5" Type="http://schemas.openxmlformats.org/officeDocument/2006/relationships/hyperlink" Target="https://scholar.google.com.br/citations?hl=pt-BR&amp;view_op=list_hcore&amp;venue=6RxgACAtCdcJ.2018" TargetMode="External"/><Relationship Id="rId4" Type="http://schemas.openxmlformats.org/officeDocument/2006/relationships/hyperlink" Target="https://scholar.google.com.br/citations?hl=pt-BR&amp;view_op=list_hcore&amp;venue=w_KC2fvJJQEJ.2018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/citations?hl=en&amp;view_op=list_hcore&amp;venue=cFvi1RZjX1gJ.2019" TargetMode="External"/><Relationship Id="rId13" Type="http://schemas.openxmlformats.org/officeDocument/2006/relationships/hyperlink" Target="https://scholar.google.com/citations?hl=en&amp;view_op=list_hcore&amp;venue=kQsANTx_InUJ.2019" TargetMode="External"/><Relationship Id="rId3" Type="http://schemas.openxmlformats.org/officeDocument/2006/relationships/hyperlink" Target="https://scholar.google.com/citations?hl=en&amp;view_op=list_hcore&amp;venue=MtqRwGWQK3AJ.2019" TargetMode="External"/><Relationship Id="rId7" Type="http://schemas.openxmlformats.org/officeDocument/2006/relationships/hyperlink" Target="https://scholar.google.com/citations?hl=en&amp;view_op=list_hcore&amp;venue=B2gupySN5PsJ.2019" TargetMode="External"/><Relationship Id="rId12" Type="http://schemas.openxmlformats.org/officeDocument/2006/relationships/hyperlink" Target="https://scholar.google.com/citations?hl=en&amp;view_op=list_hcore&amp;venue=dZLYXaFx_-EJ.2019" TargetMode="External"/><Relationship Id="rId2" Type="http://schemas.openxmlformats.org/officeDocument/2006/relationships/hyperlink" Target="https://scholar.google.com/citations?hl=en&amp;view_op=list_hcore&amp;venue=bZm_HiepFhUJ.2019" TargetMode="External"/><Relationship Id="rId1" Type="http://schemas.openxmlformats.org/officeDocument/2006/relationships/hyperlink" Target="https://scholar.google.com/citations?hl=en&amp;view_op=list_hcore&amp;venue=QLpioUFGyGMJ.2019" TargetMode="External"/><Relationship Id="rId6" Type="http://schemas.openxmlformats.org/officeDocument/2006/relationships/hyperlink" Target="https://scholar.google.com/citations?hl=en&amp;view_op=list_hcore&amp;venue=A0r8tJR7iaEJ.2019" TargetMode="External"/><Relationship Id="rId11" Type="http://schemas.openxmlformats.org/officeDocument/2006/relationships/hyperlink" Target="https://scholar.google.com/citations?hl=en&amp;view_op=list_hcore&amp;venue=BvOzx47YdqIJ.2019" TargetMode="External"/><Relationship Id="rId5" Type="http://schemas.openxmlformats.org/officeDocument/2006/relationships/hyperlink" Target="https://scholar.google.com/citations?hl=en&amp;view_op=list_hcore&amp;venue=e4Ty9mKqcmgJ.2019" TargetMode="External"/><Relationship Id="rId15" Type="http://schemas.openxmlformats.org/officeDocument/2006/relationships/hyperlink" Target="https://scholar.google.com/citations?hl=en&amp;view_op=list_hcore&amp;venue=L-flmcutX4sJ.2019" TargetMode="External"/><Relationship Id="rId10" Type="http://schemas.openxmlformats.org/officeDocument/2006/relationships/hyperlink" Target="https://scholar.google.com/citations?hl=en&amp;view_op=list_hcore&amp;venue=BgO65-j_oeEJ.2019" TargetMode="External"/><Relationship Id="rId4" Type="http://schemas.openxmlformats.org/officeDocument/2006/relationships/hyperlink" Target="https://scholar.google.com/citations?hl=en&amp;view_op=list_hcore&amp;venue=dZLYXaFx_-EJ.2019" TargetMode="External"/><Relationship Id="rId9" Type="http://schemas.openxmlformats.org/officeDocument/2006/relationships/hyperlink" Target="https://scholar.google.com/citations?hl=en&amp;view_op=list_hcore&amp;venue=uURokrZhh7IJ.2019" TargetMode="External"/><Relationship Id="rId14" Type="http://schemas.openxmlformats.org/officeDocument/2006/relationships/hyperlink" Target="https://scholar.google.com/citations?hl=en&amp;view_op=list_hcore&amp;venue=rw5ieHT7BnMJ.2019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.br/citations?hl=pt-BR&amp;view_op=search_venues&amp;vq=Technical+Symposium+on+Computer+Science+Education&amp;btnG=" TargetMode="External"/><Relationship Id="rId13" Type="http://schemas.openxmlformats.org/officeDocument/2006/relationships/hyperlink" Target="https://scholar.google.com.br/citations?hl=pt-BR&amp;view_op=search_venues&amp;vq=CSEDU&amp;btnG=" TargetMode="External"/><Relationship Id="rId18" Type="http://schemas.openxmlformats.org/officeDocument/2006/relationships/hyperlink" Target="https://scholar.google.com.br/citations?hl=pt-BR&amp;view_op=search_venues&amp;vq=LACLO&amp;btnG=" TargetMode="External"/><Relationship Id="rId3" Type="http://schemas.openxmlformats.org/officeDocument/2006/relationships/hyperlink" Target="https://scholar.google.com.br/citations?hl=pt-BR&amp;view_op=search_venues&amp;vq=SBIE+-+Simp%C3%B3sio+Brasileiro+de+Inform%C3%A1tica+na+Educa%C3%A7%C3%A3o&amp;btnG=" TargetMode="External"/><Relationship Id="rId7" Type="http://schemas.openxmlformats.org/officeDocument/2006/relationships/hyperlink" Target="https://scholar.google.com.br/citations?hl=pt-BR&amp;view_op=search_venues&amp;vq=EC-TEL&amp;btnG=" TargetMode="External"/><Relationship Id="rId12" Type="http://schemas.openxmlformats.org/officeDocument/2006/relationships/hyperlink" Target="https://scholar.google.com.br/citations?hl=pt-BR&amp;view_op=search_venues&amp;vq=EDM&amp;btnG=" TargetMode="External"/><Relationship Id="rId17" Type="http://schemas.openxmlformats.org/officeDocument/2006/relationships/hyperlink" Target="https://scholar.google.com.br/citations?hl=pt-BR&amp;view_op=search_venues&amp;vq=UMAP&amp;btnG=" TargetMode="External"/><Relationship Id="rId2" Type="http://schemas.openxmlformats.org/officeDocument/2006/relationships/hyperlink" Target="https://scholar.google.com.br/citations?hl=pt-BR&amp;view_op=search_venues&amp;vq=IEEE+International+Conference+on+Advanced+Learning+Technologies&amp;btnG=" TargetMode="External"/><Relationship Id="rId16" Type="http://schemas.openxmlformats.org/officeDocument/2006/relationships/hyperlink" Target="https://scholar.google.com.br/citations?hl=pt-BR&amp;view_op=search_venues&amp;vq=+International+Conference+on+Computer+Supported+Collaborative+Learning&amp;btnG=" TargetMode="External"/><Relationship Id="rId20" Type="http://schemas.openxmlformats.org/officeDocument/2006/relationships/hyperlink" Target="https://scholar.google.com.br/citations?hl=pt-BR&amp;view_op=search_venues&amp;vq=ACM+Symposium+on+Applied+Computing&amp;btnG=" TargetMode="External"/><Relationship Id="rId1" Type="http://schemas.openxmlformats.org/officeDocument/2006/relationships/hyperlink" Target="https://scholar.google.com.br/citations?hl=pt-BR&amp;view_op=search_venues&amp;vq=artificial+intelligence+in+education&amp;btnG=" TargetMode="External"/><Relationship Id="rId6" Type="http://schemas.openxmlformats.org/officeDocument/2006/relationships/hyperlink" Target="https://scholar.google.com.br/citations?hl=pt-BR&amp;view_op=search_venues&amp;vq=tutoring+systems&amp;btnG=" TargetMode="External"/><Relationship Id="rId11" Type="http://schemas.openxmlformats.org/officeDocument/2006/relationships/hyperlink" Target="https://scholar.google.com.br/citations?hl=pt-BR&amp;view_op=search_venues&amp;vq=International+Conference+on+Learning+Analytics+and+Knowledge&amp;btnG=" TargetMode="External"/><Relationship Id="rId5" Type="http://schemas.openxmlformats.org/officeDocument/2006/relationships/hyperlink" Target="https://scholar.google.com.br/citations?hl=pt-BR&amp;view_op=search_venues&amp;vq=ASSETS&amp;btnG=" TargetMode="External"/><Relationship Id="rId15" Type="http://schemas.openxmlformats.org/officeDocument/2006/relationships/hyperlink" Target="https://scholar.google.com.br/citations?hl=pt-BR&amp;view_op=search_venues&amp;vq=CSEE%26T+-+Conference+on+Software+Engineering+Education+and+Training&amp;btnG=" TargetMode="External"/><Relationship Id="rId10" Type="http://schemas.openxmlformats.org/officeDocument/2006/relationships/hyperlink" Target="https://scholar.google.com.br/citations?hl=pt-BR&amp;view_op=search_venues&amp;vq=Workshop+de+Inform%C3%A1tica+na+Escola&amp;btnG=" TargetMode="External"/><Relationship Id="rId19" Type="http://schemas.openxmlformats.org/officeDocument/2006/relationships/hyperlink" Target="https://scholar.google.com.br/citations?hl=pt-BR&amp;view_op=search_venues&amp;vq=International+Conference+on+e-Learning&amp;btnG=" TargetMode="External"/><Relationship Id="rId4" Type="http://schemas.openxmlformats.org/officeDocument/2006/relationships/hyperlink" Target="https://scholar.google.com.br/citations?hl=pt-BR&amp;view_op=search_venues&amp;vq=IJCAI&amp;btnG=" TargetMode="External"/><Relationship Id="rId9" Type="http://schemas.openxmlformats.org/officeDocument/2006/relationships/hyperlink" Target="https://scholar.google.com.br/citations?hl=pt-BR&amp;view_op=search_venues&amp;vq=Technical+Symposium+on+Computer+Science+Education&amp;btnG=" TargetMode="External"/><Relationship Id="rId14" Type="http://schemas.openxmlformats.org/officeDocument/2006/relationships/hyperlink" Target="https://scholar.google.com.br/citations?hl=pt-BR&amp;view_op=search_venues&amp;vq=Frontiers+in+Education+Conference&amp;btnG=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s://scholar.google.com.br/citations?hl=pt-BR&amp;view_op=list_hcore&amp;venue=0N6unYCR7HoJ.2018" TargetMode="External"/><Relationship Id="rId21" Type="http://schemas.openxmlformats.org/officeDocument/2006/relationships/hyperlink" Target="https://scholar.google.com.br/citations?hl=pt-BR&amp;view_op=list_hcore&amp;venue=o1durVJyeP4J.2019" TargetMode="External"/><Relationship Id="rId34" Type="http://schemas.openxmlformats.org/officeDocument/2006/relationships/hyperlink" Target="https://scholar.google.com.br/citations?hl=pt-BR&amp;view_op=list_hcore&amp;venue=jtXTIwcBWV8J.2018" TargetMode="External"/><Relationship Id="rId42" Type="http://schemas.openxmlformats.org/officeDocument/2006/relationships/hyperlink" Target="https://scholar.google.com.br/citations?hl=pt-BR&amp;view_op=list_hcore&amp;venue=109OuuD55eYJ.2018" TargetMode="External"/><Relationship Id="rId47" Type="http://schemas.openxmlformats.org/officeDocument/2006/relationships/hyperlink" Target="https://scholar.google.com.br/citations?hl=pt-BR&amp;view_op=list_hcore&amp;venue=Tq_VLYZkpzwJ.2018" TargetMode="External"/><Relationship Id="rId50" Type="http://schemas.openxmlformats.org/officeDocument/2006/relationships/hyperlink" Target="https://scholar.google.com.br/citations?hl=pt-BR&amp;view_op=list_hcore&amp;venue=CvhnNEBhA8sJ.2018" TargetMode="External"/><Relationship Id="rId55" Type="http://schemas.openxmlformats.org/officeDocument/2006/relationships/hyperlink" Target="https://scholar.google.com.br/citations?hl=pt-BR&amp;view_op=list_hcore&amp;venue=FdZkG8N8jboJ.2019" TargetMode="External"/><Relationship Id="rId63" Type="http://schemas.openxmlformats.org/officeDocument/2006/relationships/hyperlink" Target="https://scholar.google.com.br/citations?hl=pt-BR&amp;view_op=list_hcore&amp;venue=pKdqGpOOIq0J.2018" TargetMode="External"/><Relationship Id="rId68" Type="http://schemas.openxmlformats.org/officeDocument/2006/relationships/hyperlink" Target="https://scholar.google.com.br/citations?hl=pt-BR&amp;view_op=list_hcore&amp;venue=At2mYNztZhYJ.2019" TargetMode="External"/><Relationship Id="rId7" Type="http://schemas.openxmlformats.org/officeDocument/2006/relationships/hyperlink" Target="https://scholar.google.com.br/citations?hl=pt-BR&amp;view_op=list_hcore&amp;venue=zsGWp1QJr3AJ.2018" TargetMode="External"/><Relationship Id="rId2" Type="http://schemas.openxmlformats.org/officeDocument/2006/relationships/hyperlink" Target="https://scholar.google.com.br/citations?hl=pt-BR&amp;view_op=list_hcore&amp;venue=dF8xpB0_PnwJ.2018" TargetMode="External"/><Relationship Id="rId16" Type="http://schemas.openxmlformats.org/officeDocument/2006/relationships/hyperlink" Target="https://scholar.google.com.br/citations?hl=pt-BR&amp;view_op=list_hcore&amp;venue=kXowlNFROIgJ.2018" TargetMode="External"/><Relationship Id="rId29" Type="http://schemas.openxmlformats.org/officeDocument/2006/relationships/hyperlink" Target="https://scholar.google.com.br/citations?hl=pt-BR&amp;view_op=list_hcore&amp;venue=jpqK-S5bXocJ.2018" TargetMode="External"/><Relationship Id="rId11" Type="http://schemas.openxmlformats.org/officeDocument/2006/relationships/hyperlink" Target="https://scholar.google.com.br/citations?hl=pt-BR&amp;view_op=list_hcore&amp;venue=K9DmX5xQU-YJ.2018" TargetMode="External"/><Relationship Id="rId24" Type="http://schemas.openxmlformats.org/officeDocument/2006/relationships/hyperlink" Target="https://scholar.google.com.br/citations?hl=pt-BR&amp;view_op=list_hcore&amp;venue=ioohKoS5imcJ.2018" TargetMode="External"/><Relationship Id="rId32" Type="http://schemas.openxmlformats.org/officeDocument/2006/relationships/hyperlink" Target="https://scholar.google.com.br/citations?hl=pt-BR&amp;view_op=list_hcore&amp;venue=NA4iP0Rm0toJ.2019" TargetMode="External"/><Relationship Id="rId37" Type="http://schemas.openxmlformats.org/officeDocument/2006/relationships/hyperlink" Target="https://scholar.google.com.br/citations?hl=pt-BR&amp;view_op=list_hcore&amp;venue=qdOiyX83Y5cJ.2019" TargetMode="External"/><Relationship Id="rId40" Type="http://schemas.openxmlformats.org/officeDocument/2006/relationships/hyperlink" Target="https://scholar.google.com.br/citations?hl=pt-BR&amp;view_op=list_hcore&amp;venue=n2j6wbZrIFcJ.2018" TargetMode="External"/><Relationship Id="rId45" Type="http://schemas.openxmlformats.org/officeDocument/2006/relationships/hyperlink" Target="https://scholar.google.com.br/citations?hl=pt-BR&amp;view_op=list_hcore&amp;venue=jUmAddBIvfsJ.2018" TargetMode="External"/><Relationship Id="rId53" Type="http://schemas.openxmlformats.org/officeDocument/2006/relationships/hyperlink" Target="https://scholar.google.com.br/citations?hl=pt-BR&amp;view_op=list_hcore&amp;venue=DxTMQsOcxf0J.2018" TargetMode="External"/><Relationship Id="rId58" Type="http://schemas.openxmlformats.org/officeDocument/2006/relationships/hyperlink" Target="https://scholar.google.com.br/citations?hl=pt-BR&amp;view_op=list_hcore&amp;venue=ThEGj_a76ZUJ.2018" TargetMode="External"/><Relationship Id="rId66" Type="http://schemas.openxmlformats.org/officeDocument/2006/relationships/hyperlink" Target="https://scholar.google.com.br/citations?hl=pt-BR&amp;view_op=list_hcore&amp;venue=-yAq_nHfnI0J.2018" TargetMode="External"/><Relationship Id="rId5" Type="http://schemas.openxmlformats.org/officeDocument/2006/relationships/hyperlink" Target="https://scholar.google.com.br/citations?hl=pt-BR&amp;view_op=list_hcore&amp;venue=Z7jeczV8wooJ.2018" TargetMode="External"/><Relationship Id="rId61" Type="http://schemas.openxmlformats.org/officeDocument/2006/relationships/hyperlink" Target="https://scholar.google.com.br/citations?hl=pt-BR&amp;view_op=list_hcore&amp;venue=cMBBSwoVSQ8J.2019" TargetMode="External"/><Relationship Id="rId19" Type="http://schemas.openxmlformats.org/officeDocument/2006/relationships/hyperlink" Target="https://scholar.google.com.br/citations?hl=pt-BR&amp;view_op=list_hcore&amp;venue=V-IMg2OTpU8J.2018" TargetMode="External"/><Relationship Id="rId14" Type="http://schemas.openxmlformats.org/officeDocument/2006/relationships/hyperlink" Target="https://scholar.google.com.br/citations?hl=pt-BR&amp;view_op=list_hcore&amp;venue=K48f4XYSH_MJ.2018" TargetMode="External"/><Relationship Id="rId22" Type="http://schemas.openxmlformats.org/officeDocument/2006/relationships/hyperlink" Target="https://scholar.google.com.br/citations?hl=pt-BR&amp;view_op=list_hcore&amp;venue=H7TUtVM_vm4J.2019" TargetMode="External"/><Relationship Id="rId27" Type="http://schemas.openxmlformats.org/officeDocument/2006/relationships/hyperlink" Target="https://scholar.google.com.br/citations?hl=pt-BR&amp;view_op=list_hcore&amp;venue=bjjY0KRB7JIJ.2018" TargetMode="External"/><Relationship Id="rId30" Type="http://schemas.openxmlformats.org/officeDocument/2006/relationships/hyperlink" Target="https://scholar.google.com.br/citations?hl=pt-BR&amp;view_op=list_hcore&amp;venue=gGlXeJBf1F4J.2018" TargetMode="External"/><Relationship Id="rId35" Type="http://schemas.openxmlformats.org/officeDocument/2006/relationships/hyperlink" Target="https://scholar.google.com.br/citations?hl=pt-BR&amp;view_op=list_hcore&amp;venue=7aapB1klPAcJ.2018" TargetMode="External"/><Relationship Id="rId43" Type="http://schemas.openxmlformats.org/officeDocument/2006/relationships/hyperlink" Target="https://scholar.google.com.br/citations?hl=pt-BR&amp;view_op=list_hcore&amp;venue=I8L8xmsrq2EJ.2019" TargetMode="External"/><Relationship Id="rId48" Type="http://schemas.openxmlformats.org/officeDocument/2006/relationships/hyperlink" Target="https://scholar.google.com.br/citations?hl=pt-BR&amp;view_op=list_hcore&amp;venue=ZHdJbJwh40EJ.2018" TargetMode="External"/><Relationship Id="rId56" Type="http://schemas.openxmlformats.org/officeDocument/2006/relationships/hyperlink" Target="https://scholar.google.com.br/citations?hl=pt-BR&amp;view_op=list_hcore&amp;venue=ZUebrDHNH9sJ.2018" TargetMode="External"/><Relationship Id="rId64" Type="http://schemas.openxmlformats.org/officeDocument/2006/relationships/hyperlink" Target="https://scholar.google.com.br/citations?hl=pt-BR&amp;view_op=list_hcore&amp;venue=kwOZ7j8uP1wJ.2018" TargetMode="External"/><Relationship Id="rId8" Type="http://schemas.openxmlformats.org/officeDocument/2006/relationships/hyperlink" Target="https://scholar.google.com.br/citations?hl=pt-BR&amp;view_op=list_hcore&amp;venue=PHUeOJr2y-EJ.2018" TargetMode="External"/><Relationship Id="rId51" Type="http://schemas.openxmlformats.org/officeDocument/2006/relationships/hyperlink" Target="https://scholar.google.com.br/citations?hl=pt-BR&amp;view_op=list_hcore&amp;venue=mkkGwB_8LU8J.2018" TargetMode="External"/><Relationship Id="rId3" Type="http://schemas.openxmlformats.org/officeDocument/2006/relationships/hyperlink" Target="https://scholar.google.com.br/citations?hl=pt-BR&amp;view_op=list_hcore&amp;venue=CY_aqjanJeoJ.2018" TargetMode="External"/><Relationship Id="rId12" Type="http://schemas.openxmlformats.org/officeDocument/2006/relationships/hyperlink" Target="https://scholar.google.com.br/citations?hl=pt-BR&amp;view_op=list_hcore&amp;venue=TThVqfDwD3QJ.2018" TargetMode="External"/><Relationship Id="rId17" Type="http://schemas.openxmlformats.org/officeDocument/2006/relationships/hyperlink" Target="https://scholar.google.com.br/citations?hl=pt-BR&amp;view_op=list_hcore&amp;venue=6AbX1YWluE4J.2018" TargetMode="External"/><Relationship Id="rId25" Type="http://schemas.openxmlformats.org/officeDocument/2006/relationships/hyperlink" Target="https://scholar.google.com.br/citations?hl=pt-BR&amp;view_op=list_hcore&amp;venue=e23jKy7NXr8J.2018" TargetMode="External"/><Relationship Id="rId33" Type="http://schemas.openxmlformats.org/officeDocument/2006/relationships/hyperlink" Target="https://scholar.google.com.br/citations?hl=pt-BR&amp;view_op=list_hcore&amp;venue=U4LFuNlM8GMJ.2018" TargetMode="External"/><Relationship Id="rId38" Type="http://schemas.openxmlformats.org/officeDocument/2006/relationships/hyperlink" Target="https://scholar.google.com.br/citations?hl=pt-BR&amp;view_op=list_hcore&amp;venue=xo4pTqxCvn8J.2019" TargetMode="External"/><Relationship Id="rId46" Type="http://schemas.openxmlformats.org/officeDocument/2006/relationships/hyperlink" Target="https://scholar.google.com.br/citations?hl=pt-BR&amp;view_op=list_hcore&amp;venue=hltkuBaF_uEJ.2019" TargetMode="External"/><Relationship Id="rId59" Type="http://schemas.openxmlformats.org/officeDocument/2006/relationships/hyperlink" Target="https://scholar.google.com.br/citations?hl=pt-BR&amp;view_op=list_hcore&amp;venue=YC7yoNYrtdAJ.2019" TargetMode="External"/><Relationship Id="rId67" Type="http://schemas.openxmlformats.org/officeDocument/2006/relationships/hyperlink" Target="https://scholar.google.com.br/citations?hl=pt-BR&amp;view_op=list_hcore&amp;venue=seJ96jN95xkJ.2019" TargetMode="External"/><Relationship Id="rId20" Type="http://schemas.openxmlformats.org/officeDocument/2006/relationships/hyperlink" Target="https://scholar.google.com.br/citations?hl=pt-BR&amp;view_op=list_hcore&amp;venue=4-w_STT7RmEJ.2018" TargetMode="External"/><Relationship Id="rId41" Type="http://schemas.openxmlformats.org/officeDocument/2006/relationships/hyperlink" Target="https://scholar.google.com.br/citations?hl=pt-BR&amp;view_op=list_hcore&amp;venue=yxUYnK6YD7QJ.2018" TargetMode="External"/><Relationship Id="rId54" Type="http://schemas.openxmlformats.org/officeDocument/2006/relationships/hyperlink" Target="https://scholar.google.com.br/citations?hl=pt-BR&amp;view_op=list_hcore&amp;venue=e5pHNeuFGzEJ.2018" TargetMode="External"/><Relationship Id="rId62" Type="http://schemas.openxmlformats.org/officeDocument/2006/relationships/hyperlink" Target="https://scholar.google.com.br/citations?hl=pt-BR&amp;view_op=list_hcore&amp;venue=8aBtgrGnL1MJ.2019" TargetMode="External"/><Relationship Id="rId1" Type="http://schemas.openxmlformats.org/officeDocument/2006/relationships/hyperlink" Target="https://scholar.google.com.br/citations?hl=pt-BR&amp;view_op=list_hcore&amp;venue=6wBd043QhTIJ.2018" TargetMode="External"/><Relationship Id="rId6" Type="http://schemas.openxmlformats.org/officeDocument/2006/relationships/hyperlink" Target="https://scholar.google.com.br/citations?hl=pt-BR&amp;view_op=list_hcore&amp;venue=5PSS5xHm_KwJ.2018" TargetMode="External"/><Relationship Id="rId15" Type="http://schemas.openxmlformats.org/officeDocument/2006/relationships/hyperlink" Target="https://scholar.google.com.br/citations?hl=pt-BR&amp;view_op=list_hcore&amp;venue=IXwBVJe3Y30J.2019" TargetMode="External"/><Relationship Id="rId23" Type="http://schemas.openxmlformats.org/officeDocument/2006/relationships/hyperlink" Target="https://scholar.google.com.br/citations?hl=pt-BR&amp;view_op=list_hcore&amp;venue=71Q5CJZj-VYJ.2018" TargetMode="External"/><Relationship Id="rId28" Type="http://schemas.openxmlformats.org/officeDocument/2006/relationships/hyperlink" Target="https://scholar.google.com.br/citations?hl=pt-BR&amp;view_op=list_hcore&amp;venue=aNZ314HiR4YJ.2018" TargetMode="External"/><Relationship Id="rId36" Type="http://schemas.openxmlformats.org/officeDocument/2006/relationships/hyperlink" Target="https://scholar.google.com.br/citations?hl=pt-BR&amp;view_op=list_hcore&amp;venue=FQ-Mb1qR5dQJ.2019" TargetMode="External"/><Relationship Id="rId49" Type="http://schemas.openxmlformats.org/officeDocument/2006/relationships/hyperlink" Target="https://scholar.google.com.br/citations?hl=pt-BR&amp;view_op=list_hcore&amp;venue=pEYfHFCSslcJ.2018" TargetMode="External"/><Relationship Id="rId57" Type="http://schemas.openxmlformats.org/officeDocument/2006/relationships/hyperlink" Target="https://scholar.google.com.br/citations?hl=pt-BR&amp;view_op=list_hcore&amp;venue=hTnzOl0B1DQJ.2018" TargetMode="External"/><Relationship Id="rId10" Type="http://schemas.openxmlformats.org/officeDocument/2006/relationships/hyperlink" Target="https://scholar.google.com.br/citations?hl=pt-BR&amp;view_op=list_hcore&amp;venue=eLhWa3qzEDsJ.2018" TargetMode="External"/><Relationship Id="rId31" Type="http://schemas.openxmlformats.org/officeDocument/2006/relationships/hyperlink" Target="https://scholar.google.com.br/citations?hl=pt-BR&amp;view_op=list_hcore&amp;venue=UYzshLpmx2EJ.2018" TargetMode="External"/><Relationship Id="rId44" Type="http://schemas.openxmlformats.org/officeDocument/2006/relationships/hyperlink" Target="https://scholar.google.com.br/citations?hl=pt-BR&amp;view_op=list_hcore&amp;venue=UF-KqO2gwjoJ.2018" TargetMode="External"/><Relationship Id="rId52" Type="http://schemas.openxmlformats.org/officeDocument/2006/relationships/hyperlink" Target="https://scholar.google.com.br/citations?hl=pt-BR&amp;view_op=list_hcore&amp;venue=lySJ7rWrE4EJ.2018" TargetMode="External"/><Relationship Id="rId60" Type="http://schemas.openxmlformats.org/officeDocument/2006/relationships/hyperlink" Target="https://scholar.google.com.br/citations?hl=pt-BR&amp;view_op=list_hcore&amp;venue=7uNBCFVqIJ0J.2019" TargetMode="External"/><Relationship Id="rId65" Type="http://schemas.openxmlformats.org/officeDocument/2006/relationships/hyperlink" Target="https://scholar.google.com.br/citations?hl=pt-BR&amp;view_op=list_hcore&amp;venue=as1viggupKQJ.2018" TargetMode="External"/><Relationship Id="rId4" Type="http://schemas.openxmlformats.org/officeDocument/2006/relationships/hyperlink" Target="https://scholar.google.com.br/citations?hl=pt-BR&amp;view_op=list_hcore&amp;venue=hL4tvEz50McJ.2018" TargetMode="External"/><Relationship Id="rId9" Type="http://schemas.openxmlformats.org/officeDocument/2006/relationships/hyperlink" Target="https://scholar.google.com.br/citations?hl=pt-BR&amp;view_op=search_venues&amp;vq=IEEE+International+Conference+on+Systems%2C+Man+and+Cybernetics&amp;btnG=" TargetMode="External"/><Relationship Id="rId13" Type="http://schemas.openxmlformats.org/officeDocument/2006/relationships/hyperlink" Target="https://scholar.google.com.br/citations?hl=pt-BR&amp;view_op=list_hcore&amp;venue=0oQi0-PzQ8sJ.2018" TargetMode="External"/><Relationship Id="rId18" Type="http://schemas.openxmlformats.org/officeDocument/2006/relationships/hyperlink" Target="https://scholar.google.com.br/citations?hl=pt-BR&amp;view_op=list_hcore&amp;venue=eH4qSzdbVtwJ.2018" TargetMode="External"/><Relationship Id="rId39" Type="http://schemas.openxmlformats.org/officeDocument/2006/relationships/hyperlink" Target="https://scholar.google.com.br/citations?hl=pt-BR&amp;view_op=list_hcore&amp;venue=_Fj23yox54QJ.2018" TargetMode="External"/></Relationships>
</file>

<file path=xl/worksheets/_rels/sheet28.xml.rels><?xml version="1.0" encoding="UTF-8" standalone="yes"?>
<Relationships xmlns="http://schemas.openxmlformats.org/package/2006/relationships"><Relationship Id="rId26" Type="http://schemas.openxmlformats.org/officeDocument/2006/relationships/hyperlink" Target="https://scholar.google.com/citations?hl=en&amp;view_op=list_hcore&amp;venue=aNZ314HiR4YJ.2018" TargetMode="External"/><Relationship Id="rId21" Type="http://schemas.openxmlformats.org/officeDocument/2006/relationships/hyperlink" Target="https://scholar.google.com/citations?hl=en&amp;view_op=list_hcore&amp;venue=_IeLSKDu4j0J.2018" TargetMode="External"/><Relationship Id="rId34" Type="http://schemas.openxmlformats.org/officeDocument/2006/relationships/hyperlink" Target="https://scholar.google.com/citations?hl=en&amp;view_op=list_hcore&amp;venue=np9OvZCkWLIJ.2018" TargetMode="External"/><Relationship Id="rId42" Type="http://schemas.openxmlformats.org/officeDocument/2006/relationships/hyperlink" Target="https://scholar.google.com/citations?hl=en&amp;view_op=list_hcore&amp;venue=6AbX1YWluE4J.2018" TargetMode="External"/><Relationship Id="rId47" Type="http://schemas.openxmlformats.org/officeDocument/2006/relationships/hyperlink" Target="https://scholar.google.com/citations?hl=en&amp;view_op=list_hcore&amp;venue=ZQqJjlSjnxAJ.2018" TargetMode="External"/><Relationship Id="rId50" Type="http://schemas.openxmlformats.org/officeDocument/2006/relationships/hyperlink" Target="https://scholar.google.com/citations?hl=en&amp;view_op=list_hcore&amp;venue=nypTAZp7Yo8J.2018" TargetMode="External"/><Relationship Id="rId55" Type="http://schemas.openxmlformats.org/officeDocument/2006/relationships/hyperlink" Target="https://scholar.google.com/citations?hl=en&amp;view_op=list_hcore&amp;venue=02SGYBvIz80J.2018" TargetMode="External"/><Relationship Id="rId63" Type="http://schemas.openxmlformats.org/officeDocument/2006/relationships/hyperlink" Target="https://scholar.google.com/citations?hl=en&amp;view_op=list_hcore&amp;venue=XdShTT6W3h0J.2018" TargetMode="External"/><Relationship Id="rId7" Type="http://schemas.openxmlformats.org/officeDocument/2006/relationships/hyperlink" Target="https://scholar.google.com/citations?hl=en&amp;view_op=list_hcore&amp;venue=wB6WaEpFlvgJ.2018" TargetMode="External"/><Relationship Id="rId2" Type="http://schemas.openxmlformats.org/officeDocument/2006/relationships/hyperlink" Target="https://scholar.google.com/citations?hl=en&amp;vq=eng_databasesinformationsystems&amp;view_op=list_hcore&amp;venue=u1CjH9_75_cJ.2018" TargetMode="External"/><Relationship Id="rId16" Type="http://schemas.openxmlformats.org/officeDocument/2006/relationships/hyperlink" Target="https://scholar.google.com/citations?hl=en&amp;view_op=list_hcore&amp;venue=pEYfHFCSslcJ.2018" TargetMode="External"/><Relationship Id="rId29" Type="http://schemas.openxmlformats.org/officeDocument/2006/relationships/hyperlink" Target="https://scholar.google.com/citations?hl=en&amp;view_op=list_hcore&amp;venue=hltkuBaF_uEJ.2018" TargetMode="External"/><Relationship Id="rId11" Type="http://schemas.openxmlformats.org/officeDocument/2006/relationships/hyperlink" Target="https://scholar.google.com/citations?hl=en&amp;view_op=list_hcore&amp;venue=BGvdky_UalUJ.2018" TargetMode="External"/><Relationship Id="rId24" Type="http://schemas.openxmlformats.org/officeDocument/2006/relationships/hyperlink" Target="https://scholar.google.com/citations?hl=en&amp;view_op=list_hcore&amp;venue=eLhWa3qzEDsJ.2018" TargetMode="External"/><Relationship Id="rId32" Type="http://schemas.openxmlformats.org/officeDocument/2006/relationships/hyperlink" Target="https://scholar.google.com/citations?hl=en&amp;view_op=list_hcore&amp;venue=eM05sD1nEv4J.2018" TargetMode="External"/><Relationship Id="rId37" Type="http://schemas.openxmlformats.org/officeDocument/2006/relationships/hyperlink" Target="https://scholar.google.com/citations?hl=en&amp;view_op=list_hcore&amp;venue=4-w_STT7RmEJ.2018" TargetMode="External"/><Relationship Id="rId40" Type="http://schemas.openxmlformats.org/officeDocument/2006/relationships/hyperlink" Target="https://scholar.google.com/citations?hl=en&amp;view_op=list_hcore&amp;venue=dF8xpB0_PnwJ.2018" TargetMode="External"/><Relationship Id="rId45" Type="http://schemas.openxmlformats.org/officeDocument/2006/relationships/hyperlink" Target="https://scholar.google.com/citations?hl=en&amp;view_op=list_hcore&amp;venue=SD0zxFP7qD4J.2018" TargetMode="External"/><Relationship Id="rId53" Type="http://schemas.openxmlformats.org/officeDocument/2006/relationships/hyperlink" Target="https://scholar.google.com/citations?hl=en&amp;view_op=list_hcore&amp;venue=HQxJsAeEXPkJ.2018" TargetMode="External"/><Relationship Id="rId58" Type="http://schemas.openxmlformats.org/officeDocument/2006/relationships/hyperlink" Target="https://scholar.google.com/citations?hl=en&amp;view_op=list_hcore&amp;venue=o1durVJyeP4J.2019" TargetMode="External"/><Relationship Id="rId66" Type="http://schemas.openxmlformats.org/officeDocument/2006/relationships/hyperlink" Target="https://scholar.google.com/citations?hl=en&amp;view_op=list_hcore&amp;venue=109OuuD55eYJ.2018" TargetMode="External"/><Relationship Id="rId5" Type="http://schemas.openxmlformats.org/officeDocument/2006/relationships/hyperlink" Target="https://scholar.google.com/citations?hl=en&amp;view_op=list_hcore&amp;venue=WuE3NzMRZNAJ.2018" TargetMode="External"/><Relationship Id="rId61" Type="http://schemas.openxmlformats.org/officeDocument/2006/relationships/hyperlink" Target="https://scholar.google.com/citations?hl=en&amp;view_op=list_hcore&amp;venue=F_tKvHBbkU8J.2018" TargetMode="External"/><Relationship Id="rId19" Type="http://schemas.openxmlformats.org/officeDocument/2006/relationships/hyperlink" Target="https://scholar.google.com/citations?hl=en&amp;view_op=list_hcore&amp;venue=ibKkJ-6gcSEJ.2018" TargetMode="External"/><Relationship Id="rId14" Type="http://schemas.openxmlformats.org/officeDocument/2006/relationships/hyperlink" Target="https://scholar.google.com/citations?hl=en&amp;view_op=list_hcore&amp;venue=ykfjskFukgEJ.2018" TargetMode="External"/><Relationship Id="rId22" Type="http://schemas.openxmlformats.org/officeDocument/2006/relationships/hyperlink" Target="https://scholar.google.com/citations?hl=en&amp;view_op=list_hcore&amp;venue=o8w3q5IHx5MJ.2018" TargetMode="External"/><Relationship Id="rId27" Type="http://schemas.openxmlformats.org/officeDocument/2006/relationships/hyperlink" Target="https://scholar.google.com/citations?hl=en&amp;view_op=list_hcore&amp;venue=6RxgACAtCdcJ.2018" TargetMode="External"/><Relationship Id="rId30" Type="http://schemas.openxmlformats.org/officeDocument/2006/relationships/hyperlink" Target="https://scholar.google.com/citations?hl=en&amp;view_op=list_hcore&amp;venue=XdShTT6W3h0J.2018" TargetMode="External"/><Relationship Id="rId35" Type="http://schemas.openxmlformats.org/officeDocument/2006/relationships/hyperlink" Target="https://scholar.google.com/citations?hl=en&amp;view_op=list_hcore&amp;venue=eH4qSzdbVtwJ.2018" TargetMode="External"/><Relationship Id="rId43" Type="http://schemas.openxmlformats.org/officeDocument/2006/relationships/hyperlink" Target="https://scholar.google.com/citations?hl=en&amp;view_op=list_hcore&amp;venue=I9UJ598p80sJ.2018" TargetMode="External"/><Relationship Id="rId48" Type="http://schemas.openxmlformats.org/officeDocument/2006/relationships/hyperlink" Target="https://scholar.google.com/citations?hl=en&amp;view_op=list_hcore&amp;venue=fBneWRb_-8wJ.2018" TargetMode="External"/><Relationship Id="rId56" Type="http://schemas.openxmlformats.org/officeDocument/2006/relationships/hyperlink" Target="https://scholar.google.com/citations?hl=en&amp;view_op=list_hcore&amp;venue=Tq_VLYZkpzwJ.2018" TargetMode="External"/><Relationship Id="rId64" Type="http://schemas.openxmlformats.org/officeDocument/2006/relationships/hyperlink" Target="https://scholar.google.com/citations?hl=en&amp;view_op=list_hcore&amp;venue=UDGD1AtMr3UJ.2018" TargetMode="External"/><Relationship Id="rId8" Type="http://schemas.openxmlformats.org/officeDocument/2006/relationships/hyperlink" Target="https://scholar.google.com/citations?hl=en&amp;view_op=list_hcore&amp;venue=ixetonJUY2YJ.2018" TargetMode="External"/><Relationship Id="rId51" Type="http://schemas.openxmlformats.org/officeDocument/2006/relationships/hyperlink" Target="https://scholar.google.com/citations?hl=en&amp;view_op=list_hcore&amp;venue=o8w3q5IHx5MJ.2018" TargetMode="External"/><Relationship Id="rId3" Type="http://schemas.openxmlformats.org/officeDocument/2006/relationships/hyperlink" Target="https://scholar.google.com/citations?hl=en&amp;view_op=list_hcore&amp;venue=rDUVyYLeRdUJ.2019" TargetMode="External"/><Relationship Id="rId12" Type="http://schemas.openxmlformats.org/officeDocument/2006/relationships/hyperlink" Target="https://scholar.google.com/citations?hl=en&amp;view_op=list_hcore&amp;venue=yD4mA_VATukJ.2018" TargetMode="External"/><Relationship Id="rId17" Type="http://schemas.openxmlformats.org/officeDocument/2006/relationships/hyperlink" Target="https://scholar.google.com/citations?hl=en&amp;view_op=list_hcore&amp;venue=w_KC2fvJJQEJ.2018" TargetMode="External"/><Relationship Id="rId25" Type="http://schemas.openxmlformats.org/officeDocument/2006/relationships/hyperlink" Target="https://scholar.google.com/citations?hl=en&amp;view_op=list_hcore&amp;venue=ioohKoS5imcJ.2018" TargetMode="External"/><Relationship Id="rId33" Type="http://schemas.openxmlformats.org/officeDocument/2006/relationships/hyperlink" Target="https://scholar.google.com/citations?hl=en&amp;view_op=list_hcore&amp;venue=A0l3VPFKwDYJ.2018" TargetMode="External"/><Relationship Id="rId38" Type="http://schemas.openxmlformats.org/officeDocument/2006/relationships/hyperlink" Target="https://scholar.google.com/citations?hl=en&amp;view_op=list_hcore&amp;venue=mf0MeYwvqwoJ.2018" TargetMode="External"/><Relationship Id="rId46" Type="http://schemas.openxmlformats.org/officeDocument/2006/relationships/hyperlink" Target="https://scholar.google.com/citations?hl=en&amp;view_op=list_hcore&amp;venue=hX0wD_ieYvEJ.2018" TargetMode="External"/><Relationship Id="rId59" Type="http://schemas.openxmlformats.org/officeDocument/2006/relationships/hyperlink" Target="https://scholar.google.com/citations?hl=en&amp;view_op=list_hcore&amp;venue=mK5NIOh7kkEJ.2018" TargetMode="External"/><Relationship Id="rId67" Type="http://schemas.openxmlformats.org/officeDocument/2006/relationships/hyperlink" Target="https://scholar.google.com/citations?hl=en&amp;view_op=list_hcore&amp;venue=0oQi0-PzQ8sJ.2018" TargetMode="External"/><Relationship Id="rId20" Type="http://schemas.openxmlformats.org/officeDocument/2006/relationships/hyperlink" Target="https://scholar.google.com/citations?hl=en&amp;view_op=list_hcore&amp;venue=AETH84_wOIQJ.2018" TargetMode="External"/><Relationship Id="rId41" Type="http://schemas.openxmlformats.org/officeDocument/2006/relationships/hyperlink" Target="https://scholar.google.com/citations?hl=en&amp;view_op=list_hcore&amp;venue=B_DfwWWmEnMJ.2018" TargetMode="External"/><Relationship Id="rId54" Type="http://schemas.openxmlformats.org/officeDocument/2006/relationships/hyperlink" Target="https://scholar.google.com/citations?hl=en&amp;view_op=list_hcore&amp;venue=5PSS5xHm_KwJ.2018" TargetMode="External"/><Relationship Id="rId62" Type="http://schemas.openxmlformats.org/officeDocument/2006/relationships/hyperlink" Target="https://scholar.google.com/citations?hl=en&amp;view_op=list_hcore&amp;venue=HEK4XeIA_fYJ.2018" TargetMode="External"/><Relationship Id="rId1" Type="http://schemas.openxmlformats.org/officeDocument/2006/relationships/hyperlink" Target="https://scholar.google.com/citations?hl=en&amp;vq=eng_databasesinformationsystems&amp;view_op=list_hcore&amp;venue=HgMIeQ05CyMJ.2018" TargetMode="External"/><Relationship Id="rId6" Type="http://schemas.openxmlformats.org/officeDocument/2006/relationships/hyperlink" Target="https://scholar.google.com/citations?hl=en&amp;view_op=list_hcore&amp;venue=V-IMg2OTpU8J.2018" TargetMode="External"/><Relationship Id="rId15" Type="http://schemas.openxmlformats.org/officeDocument/2006/relationships/hyperlink" Target="https://scholar.google.com/citations?hl=en&amp;view_op=list_hcore&amp;venue=2M02lZ1WL6IJ.2018" TargetMode="External"/><Relationship Id="rId23" Type="http://schemas.openxmlformats.org/officeDocument/2006/relationships/hyperlink" Target="https://scholar.google.com/citations?hl=en&amp;view_op=list_hcore&amp;venue=gCzn4TRHFGQJ.2018" TargetMode="External"/><Relationship Id="rId28" Type="http://schemas.openxmlformats.org/officeDocument/2006/relationships/hyperlink" Target="https://scholar.google.com/citations?hl=en&amp;view_op=list_hcore&amp;venue=zsGWp1QJr3AJ.2018" TargetMode="External"/><Relationship Id="rId36" Type="http://schemas.openxmlformats.org/officeDocument/2006/relationships/hyperlink" Target="https://scholar.google.com/citations?hl=en&amp;view_op=list_hcore&amp;venue=Gf4FWVmkfbwJ.2018" TargetMode="External"/><Relationship Id="rId49" Type="http://schemas.openxmlformats.org/officeDocument/2006/relationships/hyperlink" Target="https://scholar.google.com/citations?hl=en&amp;view_op=list_hcore&amp;venue=3zneIArE2G0J.2018" TargetMode="External"/><Relationship Id="rId57" Type="http://schemas.openxmlformats.org/officeDocument/2006/relationships/hyperlink" Target="https://scholar.google.com/citations?hl=en&amp;view_op=list_hcore&amp;venue=K9DmX5xQU-YJ.2018" TargetMode="External"/><Relationship Id="rId10" Type="http://schemas.openxmlformats.org/officeDocument/2006/relationships/hyperlink" Target="https://scholar.google.com/citations?hl=en&amp;view_op=list_hcore&amp;venue=5zblDmoFLZAJ.2018" TargetMode="External"/><Relationship Id="rId31" Type="http://schemas.openxmlformats.org/officeDocument/2006/relationships/hyperlink" Target="https://scholar.google.com/citations?hl=en&amp;view_op=list_hcore&amp;venue=cFvi1RZjX1gJ.2018" TargetMode="External"/><Relationship Id="rId44" Type="http://schemas.openxmlformats.org/officeDocument/2006/relationships/hyperlink" Target="https://scholar.google.com/citations?hl=en&amp;view_op=list_hcore&amp;venue=5qcbaE0D5owJ.2018" TargetMode="External"/><Relationship Id="rId52" Type="http://schemas.openxmlformats.org/officeDocument/2006/relationships/hyperlink" Target="https://scholar.google.com/citations?hl=en&amp;view_op=list_hcore&amp;venue=hL4tvEz50McJ.2018" TargetMode="External"/><Relationship Id="rId60" Type="http://schemas.openxmlformats.org/officeDocument/2006/relationships/hyperlink" Target="https://scholar.google.com/citations?hl=en&amp;view_op=list_hcore&amp;venue=BQO9C9sz1x8J.2018" TargetMode="External"/><Relationship Id="rId65" Type="http://schemas.openxmlformats.org/officeDocument/2006/relationships/hyperlink" Target="https://scholar.google.com/citations?hl=en&amp;view_op=list_hcore&amp;venue=5XVjTHqnK0AJ.2018" TargetMode="External"/><Relationship Id="rId4" Type="http://schemas.openxmlformats.org/officeDocument/2006/relationships/hyperlink" Target="https://scholar.google.com/citations?hl=en&amp;view_op=list_hcore&amp;venue=HdCtgB7kxZAJ.2018" TargetMode="External"/><Relationship Id="rId9" Type="http://schemas.openxmlformats.org/officeDocument/2006/relationships/hyperlink" Target="https://scholar.google.es/citations?hl=en&amp;vq=eng_datamininganalysis&amp;view_op=list_hcore&amp;venue=DxPOk84pRIIJ.2018" TargetMode="External"/><Relationship Id="rId13" Type="http://schemas.openxmlformats.org/officeDocument/2006/relationships/hyperlink" Target="https://scholar.google.com/citations?hl=en&amp;vq=eng_databasesinformationsystems&amp;view_op=list_hcore&amp;venue=yChjqNpzfk0J.2018" TargetMode="External"/><Relationship Id="rId18" Type="http://schemas.openxmlformats.org/officeDocument/2006/relationships/hyperlink" Target="https://scholar.google.com/citations?hl=en&amp;view_op=list_hcore&amp;venue=sGmafh2RqU8J.2018" TargetMode="External"/><Relationship Id="rId39" Type="http://schemas.openxmlformats.org/officeDocument/2006/relationships/hyperlink" Target="https://scholar.google.com/citations?hl=en&amp;view_op=list_hcore&amp;venue=02SGYBvIz80J.2018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/citations?hl=en&amp;view_op=list_hcore&amp;venue=Ydp6NbVxpcEJ.2020" TargetMode="External"/><Relationship Id="rId3" Type="http://schemas.openxmlformats.org/officeDocument/2006/relationships/hyperlink" Target="https://scholar.google.com.br/citations?hl=en&amp;view_op=list_hcore&amp;venue=q-MXMv7GdwAJ.2020" TargetMode="External"/><Relationship Id="rId7" Type="http://schemas.openxmlformats.org/officeDocument/2006/relationships/hyperlink" Target="https://scholar.google.com.br/citations?hl=en&amp;vq=eng_theoreticalcomputerscience&amp;view_op=list_hcore&amp;venue=uMkIEwVx22wJ.2020" TargetMode="External"/><Relationship Id="rId2" Type="http://schemas.openxmlformats.org/officeDocument/2006/relationships/hyperlink" Target="https://scholar.google.com.br/citations?hl=en&amp;view_op=list_hcore&amp;venue=xfuNJ8sxOdEJ.2020" TargetMode="External"/><Relationship Id="rId1" Type="http://schemas.openxmlformats.org/officeDocument/2006/relationships/hyperlink" Target="https://scholar.google.com.br/citations?hl=en&amp;vq=eng_theoreticalcomputerscience&amp;view_op=list_hcore&amp;venue=5mWbSIB9be8J.2020" TargetMode="External"/><Relationship Id="rId6" Type="http://schemas.openxmlformats.org/officeDocument/2006/relationships/hyperlink" Target="https://scholar.google.com.br/citations?hl=en&amp;view_op=list_hcore&amp;venue=foujqxJmEBEJ.2020" TargetMode="External"/><Relationship Id="rId5" Type="http://schemas.openxmlformats.org/officeDocument/2006/relationships/hyperlink" Target="https://scholar.google.com.br/citations?hl=en&amp;view_op=list_hcore&amp;venue=-_yucm7AqqAJ.2020" TargetMode="External"/><Relationship Id="rId10" Type="http://schemas.openxmlformats.org/officeDocument/2006/relationships/hyperlink" Target="https://scholar.google.com.br/citations?hl=en&amp;view_op=list_hcore&amp;venue=b7Wt8oz6uqAJ.2020" TargetMode="External"/><Relationship Id="rId4" Type="http://schemas.openxmlformats.org/officeDocument/2006/relationships/hyperlink" Target="https://scholar.google.com.br/citations?hl=en&amp;view_op=list_hcore&amp;venue=PPMBzcum8FkJ.2020" TargetMode="External"/><Relationship Id="rId9" Type="http://schemas.openxmlformats.org/officeDocument/2006/relationships/hyperlink" Target="https://scholar.google.com.br/citations?hl=en&amp;view_op=list_hcore&amp;venue=UtpXAOWmk9EJ.2020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scholar.google.com/citations?hl=en&amp;view_op=list_hcore&amp;venue=6gqvYwOFvq0J.2018" TargetMode="External"/><Relationship Id="rId18" Type="http://schemas.openxmlformats.org/officeDocument/2006/relationships/hyperlink" Target="https://scholar.google.com/citations?hl=en&amp;view_op=list_hcore&amp;venue=_3T_r4GbfNcJ.2018" TargetMode="External"/><Relationship Id="rId26" Type="http://schemas.openxmlformats.org/officeDocument/2006/relationships/hyperlink" Target="https://scholar.google.com/citations?hl=en&amp;view_op=list_hcore&amp;venue=pUbmTvcLFnQJ.2018" TargetMode="External"/><Relationship Id="rId39" Type="http://schemas.openxmlformats.org/officeDocument/2006/relationships/hyperlink" Target="https://scholar.google.com/citations?hl=en&amp;view_op=list_hcore&amp;venue=9DZYftdOCUAJ.2018" TargetMode="External"/><Relationship Id="rId21" Type="http://schemas.openxmlformats.org/officeDocument/2006/relationships/hyperlink" Target="https://scholar.google.com/citations?hl=en&amp;view_op=list_hcore&amp;venue=uX6tRrNG0lQJ.2018" TargetMode="External"/><Relationship Id="rId34" Type="http://schemas.openxmlformats.org/officeDocument/2006/relationships/hyperlink" Target="https://scholar.google.com/citations?hl=en&amp;view_op=list_hcore&amp;venue=jMvtRj_Yg6wJ.2018" TargetMode="External"/><Relationship Id="rId42" Type="http://schemas.openxmlformats.org/officeDocument/2006/relationships/hyperlink" Target="https://scholar.google.com/citations?hl=en&amp;view_op=list_hcore&amp;venue=MSHaZsrVGwsJ.2018" TargetMode="External"/><Relationship Id="rId47" Type="http://schemas.openxmlformats.org/officeDocument/2006/relationships/hyperlink" Target="https://scholar.google.com/citations?hl=en&amp;view_op=list_hcore&amp;venue=p8h6FO7flgIJ.2018" TargetMode="External"/><Relationship Id="rId50" Type="http://schemas.openxmlformats.org/officeDocument/2006/relationships/hyperlink" Target="https://scholar.google.com/citations?hl=en&amp;view_op=list_hcore&amp;venue=G0FddLwZFDcJ.2019" TargetMode="External"/><Relationship Id="rId7" Type="http://schemas.openxmlformats.org/officeDocument/2006/relationships/hyperlink" Target="https://scholar.google.com/citations?hl=en&amp;view_op=list_hcore&amp;venue=hxrvQsnJSDMJ.2018" TargetMode="External"/><Relationship Id="rId2" Type="http://schemas.openxmlformats.org/officeDocument/2006/relationships/hyperlink" Target="https://scholar.google.com/citations?hl=en&amp;view_op=list_hcore&amp;venue=cyrroHz3a0YJ.2018" TargetMode="External"/><Relationship Id="rId16" Type="http://schemas.openxmlformats.org/officeDocument/2006/relationships/hyperlink" Target="https://scholar.google.com/citations?hl=en&amp;view_op=list_hcore&amp;venue=x1AY1yaO1mQJ.2018" TargetMode="External"/><Relationship Id="rId29" Type="http://schemas.openxmlformats.org/officeDocument/2006/relationships/hyperlink" Target="https://scholar.google.com/citations?hl=en&amp;view_op=list_hcore&amp;venue=mvVvdS_cvHIJ.2018" TargetMode="External"/><Relationship Id="rId11" Type="http://schemas.openxmlformats.org/officeDocument/2006/relationships/hyperlink" Target="https://scholar.google.com/citations?hl=en&amp;view_op=list_hcore&amp;venue=JP81m6yJpiEJ.2018" TargetMode="External"/><Relationship Id="rId24" Type="http://schemas.openxmlformats.org/officeDocument/2006/relationships/hyperlink" Target="https://scholar.google.com/citations?hl=en&amp;view_op=list_hcore&amp;venue=nZuTYevUj1wJ.2019" TargetMode="External"/><Relationship Id="rId32" Type="http://schemas.openxmlformats.org/officeDocument/2006/relationships/hyperlink" Target="https://scholar.google.com/citations?hl=en&amp;view_op=list_hcore&amp;venue=mDgNlZgOboEJ.2018" TargetMode="External"/><Relationship Id="rId37" Type="http://schemas.openxmlformats.org/officeDocument/2006/relationships/hyperlink" Target="https://scholar.google.com/citations?hl=en&amp;view_op=list_hcore&amp;venue=t9ttKFRoPtkJ.2018" TargetMode="External"/><Relationship Id="rId40" Type="http://schemas.openxmlformats.org/officeDocument/2006/relationships/hyperlink" Target="https://scholar.google.com/citations?hl=en&amp;view_op=list_hcore&amp;venue=Vnq3DIsft2YJ.2019" TargetMode="External"/><Relationship Id="rId45" Type="http://schemas.openxmlformats.org/officeDocument/2006/relationships/hyperlink" Target="https://scholar.google.com/citations?hl=en&amp;view_op=list_hcore&amp;venue=PlU5605zcRkJ.2018" TargetMode="External"/><Relationship Id="rId5" Type="http://schemas.openxmlformats.org/officeDocument/2006/relationships/hyperlink" Target="https://scholar.google.com/citations?hl=en&amp;view_op=list_hcore&amp;venue=q2FcImd5qbgJ.2018" TargetMode="External"/><Relationship Id="rId15" Type="http://schemas.openxmlformats.org/officeDocument/2006/relationships/hyperlink" Target="https://scholar.google.com/citations?hl=en&amp;view_op=list_hcore&amp;venue=88oopSfS28MJ.2018" TargetMode="External"/><Relationship Id="rId23" Type="http://schemas.openxmlformats.org/officeDocument/2006/relationships/hyperlink" Target="https://scholar.google.com/citations?hl=en&amp;view_op=list_hcore&amp;venue=JDO_KUA4CYMJ.2018" TargetMode="External"/><Relationship Id="rId28" Type="http://schemas.openxmlformats.org/officeDocument/2006/relationships/hyperlink" Target="https://scholar.google.com/citations?hl=en&amp;view_op=list_hcore&amp;venue=GIrj2BSjfiwJ.2018" TargetMode="External"/><Relationship Id="rId36" Type="http://schemas.openxmlformats.org/officeDocument/2006/relationships/hyperlink" Target="https://scholar.google.com/citations?hl=en&amp;view_op=list_hcore&amp;venue=o0S2wIvNbXEJ.2019" TargetMode="External"/><Relationship Id="rId49" Type="http://schemas.openxmlformats.org/officeDocument/2006/relationships/hyperlink" Target="https://scholar.google.com/citations?hl=en&amp;view_op=list_hcore&amp;venue=-4oZh5Q9EIcJ.2019" TargetMode="External"/><Relationship Id="rId10" Type="http://schemas.openxmlformats.org/officeDocument/2006/relationships/hyperlink" Target="https://scholar.google.com/citations?hl=en&amp;view_op=list_hcore&amp;venue=fxQZq2l4GcMJ.2018" TargetMode="External"/><Relationship Id="rId19" Type="http://schemas.openxmlformats.org/officeDocument/2006/relationships/hyperlink" Target="https://scholar.google.com/citations?hl=en&amp;view_op=list_hcore&amp;venue=eMr22KXtlXcJ.2018" TargetMode="External"/><Relationship Id="rId31" Type="http://schemas.openxmlformats.org/officeDocument/2006/relationships/hyperlink" Target="https://scholar.google.com/citations?hl=en&amp;view_op=list_hcore&amp;venue=NQGo0SktmDsJ.2018" TargetMode="External"/><Relationship Id="rId44" Type="http://schemas.openxmlformats.org/officeDocument/2006/relationships/hyperlink" Target="https://scholar.google.com/citations?hl=en&amp;view_op=list_hcore&amp;venue=mjGhRMqAqs8J.2019" TargetMode="External"/><Relationship Id="rId4" Type="http://schemas.openxmlformats.org/officeDocument/2006/relationships/hyperlink" Target="https://scholar.google.com/citations?hl=en&amp;view_op=list_hcore&amp;venue=nqcB6RwzhMQJ.2018" TargetMode="External"/><Relationship Id="rId9" Type="http://schemas.openxmlformats.org/officeDocument/2006/relationships/hyperlink" Target="https://scholar.google.com/citations?hl=en&amp;view_op=list_hcore&amp;venue=3VLtGPwkq54J.2018" TargetMode="External"/><Relationship Id="rId14" Type="http://schemas.openxmlformats.org/officeDocument/2006/relationships/hyperlink" Target="https://scholar.google.com/citations?hl=en&amp;view_op=list_hcore&amp;venue=u0EMblNmhEoJ.2018" TargetMode="External"/><Relationship Id="rId22" Type="http://schemas.openxmlformats.org/officeDocument/2006/relationships/hyperlink" Target="https://scholar.google.com/citations?hl=en&amp;view_op=list_hcore&amp;venue=8C-rTF6UiesJ.2018" TargetMode="External"/><Relationship Id="rId27" Type="http://schemas.openxmlformats.org/officeDocument/2006/relationships/hyperlink" Target="https://scholar.google.com/citations?hl=en&amp;view_op=list_hcore&amp;venue=JXbjzvN-escJ.2018" TargetMode="External"/><Relationship Id="rId30" Type="http://schemas.openxmlformats.org/officeDocument/2006/relationships/hyperlink" Target="https://scholar.google.com/citations?hl=en&amp;view_op=list_hcore&amp;venue=pMNODcGxo4cJ.2018" TargetMode="External"/><Relationship Id="rId35" Type="http://schemas.openxmlformats.org/officeDocument/2006/relationships/hyperlink" Target="https://scholar.google.com/citations?hl=en&amp;view_op=list_hcore&amp;venue=q7kWOn3QmqYJ.2018" TargetMode="External"/><Relationship Id="rId43" Type="http://schemas.openxmlformats.org/officeDocument/2006/relationships/hyperlink" Target="https://scholar.google.com/citations?hl=en&amp;view_op=list_hcore&amp;venue=glSJUMMggrUJ.2019" TargetMode="External"/><Relationship Id="rId48" Type="http://schemas.openxmlformats.org/officeDocument/2006/relationships/hyperlink" Target="https://scholar.google.com/citations?hl=en&amp;view_op=list_hcore&amp;venue=pGU5_1oxcy0J.2019" TargetMode="External"/><Relationship Id="rId8" Type="http://schemas.openxmlformats.org/officeDocument/2006/relationships/hyperlink" Target="https://scholar.google.com/citations?hl=en&amp;view_op=list_hcore&amp;venue=gVeDacK3aQwJ.2018" TargetMode="External"/><Relationship Id="rId3" Type="http://schemas.openxmlformats.org/officeDocument/2006/relationships/hyperlink" Target="https://scholar.google.com/citations?hl=en&amp;view_op=list_hcore&amp;venue=HSHJIaLyN9IJ.2018" TargetMode="External"/><Relationship Id="rId12" Type="http://schemas.openxmlformats.org/officeDocument/2006/relationships/hyperlink" Target="https://scholar.google.com/citations?hl=en&amp;view_op=list_hcore&amp;venue=d6VxAyLWqWgJ.2018" TargetMode="External"/><Relationship Id="rId17" Type="http://schemas.openxmlformats.org/officeDocument/2006/relationships/hyperlink" Target="https://scholar.google.com/citations?hl=en&amp;view_op=list_hcore&amp;venue=LWRwHw7mGBMJ.2018" TargetMode="External"/><Relationship Id="rId25" Type="http://schemas.openxmlformats.org/officeDocument/2006/relationships/hyperlink" Target="https://scholar.google.com/citations?hl=en&amp;view_op=list_hcore&amp;venue=826ERjda8dUJ.2018" TargetMode="External"/><Relationship Id="rId33" Type="http://schemas.openxmlformats.org/officeDocument/2006/relationships/hyperlink" Target="https://scholar.google.com/citations?hl=en&amp;view_op=list_hcore&amp;venue=xoT0NbWIf-kJ.2018" TargetMode="External"/><Relationship Id="rId38" Type="http://schemas.openxmlformats.org/officeDocument/2006/relationships/hyperlink" Target="https://scholar.google.com/citations?hl=en&amp;view_op=list_hcore&amp;venue=fWfpTei59DsJ.2018" TargetMode="External"/><Relationship Id="rId46" Type="http://schemas.openxmlformats.org/officeDocument/2006/relationships/hyperlink" Target="https://scholar.google.com/citations?hl=en&amp;view_op=list_hcore&amp;venue=BJDMFlAVW-cJ.2018" TargetMode="External"/><Relationship Id="rId20" Type="http://schemas.openxmlformats.org/officeDocument/2006/relationships/hyperlink" Target="https://scholar.google.com/citations?hl=en&amp;view_op=list_hcore&amp;venue=5Sz4yUnI16AJ.2018" TargetMode="External"/><Relationship Id="rId41" Type="http://schemas.openxmlformats.org/officeDocument/2006/relationships/hyperlink" Target="https://scholar.google.com/citations?hl=en&amp;view_op=list_hcore&amp;venue=xSWUNlszhlkJ.2018" TargetMode="External"/><Relationship Id="rId1" Type="http://schemas.openxmlformats.org/officeDocument/2006/relationships/hyperlink" Target="https://scholar.google.com/citations?hl=en&amp;view_op=list_hcore&amp;venue=Pg42P_rbavwJ.2018" TargetMode="External"/><Relationship Id="rId6" Type="http://schemas.openxmlformats.org/officeDocument/2006/relationships/hyperlink" Target="https://scholar.google.com/citations?hl=en&amp;view_op=list_hcore&amp;venue=fsZsNTm7Eh8J.2018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.br/citations?hl=en&amp;view_op=list_hcore&amp;venue=fcioh0Px5iMJ.2018" TargetMode="External"/><Relationship Id="rId13" Type="http://schemas.openxmlformats.org/officeDocument/2006/relationships/hyperlink" Target="https://scholar.google.com.br/citations?hl=en&amp;view_op=list_hcore&amp;venue=EhHHXze7CIMJ.2018" TargetMode="External"/><Relationship Id="rId18" Type="http://schemas.openxmlformats.org/officeDocument/2006/relationships/hyperlink" Target="https://scholar.google.com.br/citations?hl=en&amp;view_op=list_hcore&amp;venue=HQxJsAeEXPkJ.2019" TargetMode="External"/><Relationship Id="rId26" Type="http://schemas.openxmlformats.org/officeDocument/2006/relationships/hyperlink" Target="https://scholar.google.com.br/citations?hl=en&amp;view_op=list_hcore&amp;venue=lTgG3I7tby0J.2019" TargetMode="External"/><Relationship Id="rId3" Type="http://schemas.openxmlformats.org/officeDocument/2006/relationships/hyperlink" Target="https://scholar.google.com.br/citations?hl=en&amp;view_op=list_hcore&amp;venue=8LhhnAnPYO8J.2018" TargetMode="External"/><Relationship Id="rId21" Type="http://schemas.openxmlformats.org/officeDocument/2006/relationships/hyperlink" Target="https://scholar.google.com.br/citations?hl=en&amp;view_op=list_hcore&amp;venue=iYMCTRkCEn4J.2018" TargetMode="External"/><Relationship Id="rId7" Type="http://schemas.openxmlformats.org/officeDocument/2006/relationships/hyperlink" Target="https://scholar.google.com.br/citations?hl=en&amp;view_op=list_hcore&amp;venue=NA4iP0Rm0toJ.2018" TargetMode="External"/><Relationship Id="rId12" Type="http://schemas.openxmlformats.org/officeDocument/2006/relationships/hyperlink" Target="https://scholar.google.com.br/citations?hl=en&amp;view_op=list_hcore&amp;venue=o7m_477rT9kJ.2018" TargetMode="External"/><Relationship Id="rId17" Type="http://schemas.openxmlformats.org/officeDocument/2006/relationships/hyperlink" Target="https://scholar.google.com.br/citations?hl=en&amp;view_op=list_hcore&amp;venue=y8-AwXJ0Me0J.2018" TargetMode="External"/><Relationship Id="rId25" Type="http://schemas.openxmlformats.org/officeDocument/2006/relationships/hyperlink" Target="https://scholar.google.com.br/citations?hl=en&amp;view_op=list_hcore&amp;venue=IdSNHXeKP5gJ.2019" TargetMode="External"/><Relationship Id="rId2" Type="http://schemas.openxmlformats.org/officeDocument/2006/relationships/hyperlink" Target="https://scholar.google.com.br/citations?hl=en&amp;view_op=list_hcore&amp;venue=MVYbyyKMpToJ.2018" TargetMode="External"/><Relationship Id="rId16" Type="http://schemas.openxmlformats.org/officeDocument/2006/relationships/hyperlink" Target="https://scholar.google.com.br/citations?hl=en&amp;view_op=list_hcore&amp;venue=UMMGw1KV79IJ.2018" TargetMode="External"/><Relationship Id="rId20" Type="http://schemas.openxmlformats.org/officeDocument/2006/relationships/hyperlink" Target="https://scholar.google.com.br/citations?hl=en&amp;view_op=list_hcore&amp;venue=SrrjCUAZeRcJ.2019" TargetMode="External"/><Relationship Id="rId29" Type="http://schemas.openxmlformats.org/officeDocument/2006/relationships/hyperlink" Target="https://scholar.google.com.br/citations?hl=en&amp;view_op=list_hcore&amp;venue=xujU2BmpDawJ.2019" TargetMode="External"/><Relationship Id="rId1" Type="http://schemas.openxmlformats.org/officeDocument/2006/relationships/hyperlink" Target="https://scholar.google.com.br/citations?hl=en&amp;view_op=list_hcore&amp;venue=I09_2V3FJhwJ.2018" TargetMode="External"/><Relationship Id="rId6" Type="http://schemas.openxmlformats.org/officeDocument/2006/relationships/hyperlink" Target="https://scholar.google.com.br/citations?hl=en&amp;view_op=list_hcore&amp;venue=xJhIFxijeG8J.2018" TargetMode="External"/><Relationship Id="rId11" Type="http://schemas.openxmlformats.org/officeDocument/2006/relationships/hyperlink" Target="https://scholar.google.com.br/citations?hl=en&amp;view_op=list_hcore&amp;venue=y53zu2cNqqkJ.2018" TargetMode="External"/><Relationship Id="rId24" Type="http://schemas.openxmlformats.org/officeDocument/2006/relationships/hyperlink" Target="https://scholar.google.com.br/citations?hl=en&amp;view_op=list_hcore&amp;venue=a1hgjTIprNcJ.2019" TargetMode="External"/><Relationship Id="rId5" Type="http://schemas.openxmlformats.org/officeDocument/2006/relationships/hyperlink" Target="https://scholar.google.com.br/citations?hl=en&amp;view_op=list_hcore&amp;venue=Cge5_JoKLicJ.2018" TargetMode="External"/><Relationship Id="rId15" Type="http://schemas.openxmlformats.org/officeDocument/2006/relationships/hyperlink" Target="https://scholar.google.com.br/citations?hl=en&amp;view_op=list_hcore&amp;venue=0luRC0xHVlsJ.2018" TargetMode="External"/><Relationship Id="rId23" Type="http://schemas.openxmlformats.org/officeDocument/2006/relationships/hyperlink" Target="https://scholar.google.com.br/citations?hl=en&amp;view_op=list_hcore&amp;venue=x2Xq7JEL5msJ.2019" TargetMode="External"/><Relationship Id="rId28" Type="http://schemas.openxmlformats.org/officeDocument/2006/relationships/hyperlink" Target="https://scholar.google.com.br/citations?hl=en&amp;view_op=list_hcore&amp;venue=nZZ8G3Einp0J.2019" TargetMode="External"/><Relationship Id="rId10" Type="http://schemas.openxmlformats.org/officeDocument/2006/relationships/hyperlink" Target="https://scholar.google.com.br/citations?hl=en&amp;view_op=list_hcore&amp;venue=jMvtRj_Yg6wJ.2018" TargetMode="External"/><Relationship Id="rId19" Type="http://schemas.openxmlformats.org/officeDocument/2006/relationships/hyperlink" Target="https://scholar.google.com.br/citations?hl=en&amp;view_op=list_hcore&amp;venue=intKDWeQOfwJ.2018" TargetMode="External"/><Relationship Id="rId4" Type="http://schemas.openxmlformats.org/officeDocument/2006/relationships/hyperlink" Target="https://scholar.google.com.br/citations?hl=en&amp;view_op=list_hcore&amp;venue=CiHz08Ia1nsJ.2018" TargetMode="External"/><Relationship Id="rId9" Type="http://schemas.openxmlformats.org/officeDocument/2006/relationships/hyperlink" Target="https://scholar.google.com.br/citations?hl=en&amp;view_op=list_hcore&amp;venue=fWfpTei59DsJ.2018" TargetMode="External"/><Relationship Id="rId14" Type="http://schemas.openxmlformats.org/officeDocument/2006/relationships/hyperlink" Target="https://scholar.google.com.br/citations?hl=en&amp;view_op=list_hcore&amp;venue=0jK8bHjCH68J.2018" TargetMode="External"/><Relationship Id="rId22" Type="http://schemas.openxmlformats.org/officeDocument/2006/relationships/hyperlink" Target="https://scholar.google.com.br/citations?hl=en&amp;view_op=list_hcore&amp;venue=J2WvLRIhE6UJ.2019" TargetMode="External"/><Relationship Id="rId27" Type="http://schemas.openxmlformats.org/officeDocument/2006/relationships/hyperlink" Target="https://scholar.google.com.br/citations?hl=en&amp;view_op=list_hcore&amp;venue=J92rQU3cJVwJ.2019" TargetMode="External"/><Relationship Id="rId30" Type="http://schemas.openxmlformats.org/officeDocument/2006/relationships/hyperlink" Target="https://scholar.google.com.br/citations?hl=en&amp;view_op=list_hcore&amp;venue=UoM6MOnWKE8J.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180"/>
  <sheetViews>
    <sheetView showGridLines="0" workbookViewId="0">
      <pane ySplit="1" topLeftCell="A2" activePane="bottomLeft" state="frozen"/>
      <selection activeCell="C34" sqref="C34"/>
      <selection pane="bottomLeft" activeCell="E10" sqref="E10"/>
    </sheetView>
  </sheetViews>
  <sheetFormatPr defaultColWidth="12.5703125" defaultRowHeight="15.75" customHeight="1"/>
  <cols>
    <col min="1" max="1" width="27.42578125" style="106" customWidth="1"/>
    <col min="2" max="2" width="107.140625" style="10" customWidth="1"/>
  </cols>
  <sheetData>
    <row r="1" spans="1:2" s="10" customFormat="1" ht="21" customHeight="1">
      <c r="A1" s="9" t="s">
        <v>0</v>
      </c>
      <c r="B1" s="9" t="s">
        <v>1</v>
      </c>
    </row>
    <row r="2" spans="1:2" s="8" customFormat="1" ht="25.5" customHeight="1">
      <c r="A2" s="9" t="s">
        <v>2</v>
      </c>
      <c r="B2" s="107" t="s">
        <v>3</v>
      </c>
    </row>
    <row r="3" spans="1:2" s="8" customFormat="1" ht="25.5" customHeight="1">
      <c r="A3" s="9" t="s">
        <v>4</v>
      </c>
      <c r="B3" s="107" t="s">
        <v>5</v>
      </c>
    </row>
    <row r="4" spans="1:2" s="8" customFormat="1" ht="25.5" customHeight="1">
      <c r="A4" s="9" t="s">
        <v>6</v>
      </c>
      <c r="B4" s="107" t="s">
        <v>7</v>
      </c>
    </row>
    <row r="5" spans="1:2" s="8" customFormat="1" ht="25.5" customHeight="1">
      <c r="A5" s="9" t="s">
        <v>8</v>
      </c>
      <c r="B5" s="107" t="s">
        <v>9</v>
      </c>
    </row>
    <row r="6" spans="1:2" s="8" customFormat="1" ht="25.5" customHeight="1">
      <c r="A6" s="9" t="s">
        <v>10</v>
      </c>
      <c r="B6" s="107" t="s">
        <v>11</v>
      </c>
    </row>
    <row r="7" spans="1:2" s="8" customFormat="1" ht="25.5" customHeight="1">
      <c r="A7" s="9" t="s">
        <v>12</v>
      </c>
      <c r="B7" s="107" t="s">
        <v>13</v>
      </c>
    </row>
    <row r="8" spans="1:2" s="8" customFormat="1" ht="25.5" customHeight="1">
      <c r="A8" s="9" t="s">
        <v>14</v>
      </c>
      <c r="B8" s="107" t="s">
        <v>15</v>
      </c>
    </row>
    <row r="9" spans="1:2" s="8" customFormat="1" ht="25.5" customHeight="1">
      <c r="A9" s="9" t="s">
        <v>16</v>
      </c>
      <c r="B9" s="107" t="s">
        <v>17</v>
      </c>
    </row>
    <row r="10" spans="1:2" s="8" customFormat="1" ht="25.5" customHeight="1">
      <c r="A10" s="9" t="s">
        <v>18</v>
      </c>
      <c r="B10" s="107" t="s">
        <v>19</v>
      </c>
    </row>
    <row r="11" spans="1:2" s="8" customFormat="1" ht="25.5" customHeight="1">
      <c r="A11" s="9" t="s">
        <v>20</v>
      </c>
      <c r="B11" s="107" t="s">
        <v>21</v>
      </c>
    </row>
    <row r="12" spans="1:2" s="8" customFormat="1" ht="25.5" customHeight="1">
      <c r="A12" s="9" t="s">
        <v>22</v>
      </c>
      <c r="B12" s="107" t="s">
        <v>23</v>
      </c>
    </row>
    <row r="13" spans="1:2" s="8" customFormat="1" ht="25.5" customHeight="1">
      <c r="A13" s="9" t="s">
        <v>24</v>
      </c>
      <c r="B13" s="107" t="s">
        <v>25</v>
      </c>
    </row>
    <row r="14" spans="1:2" s="8" customFormat="1" ht="25.5" customHeight="1">
      <c r="A14" s="9" t="s">
        <v>26</v>
      </c>
      <c r="B14" s="107" t="s">
        <v>27</v>
      </c>
    </row>
    <row r="15" spans="1:2" s="8" customFormat="1" ht="25.5" customHeight="1">
      <c r="A15" s="9" t="s">
        <v>28</v>
      </c>
      <c r="B15" s="107" t="s">
        <v>29</v>
      </c>
    </row>
    <row r="16" spans="1:2" s="8" customFormat="1" ht="25.5" customHeight="1">
      <c r="A16" s="9" t="s">
        <v>30</v>
      </c>
      <c r="B16" s="107" t="s">
        <v>31</v>
      </c>
    </row>
    <row r="17" spans="1:2" s="8" customFormat="1" ht="25.5" customHeight="1">
      <c r="A17" s="9" t="s">
        <v>32</v>
      </c>
      <c r="B17" s="107" t="s">
        <v>33</v>
      </c>
    </row>
    <row r="18" spans="1:2" s="8" customFormat="1" ht="25.5" customHeight="1">
      <c r="A18" s="9" t="s">
        <v>34</v>
      </c>
      <c r="B18" s="107" t="s">
        <v>35</v>
      </c>
    </row>
    <row r="19" spans="1:2" s="8" customFormat="1" ht="25.5" customHeight="1">
      <c r="A19" s="9" t="s">
        <v>36</v>
      </c>
      <c r="B19" s="107" t="s">
        <v>37</v>
      </c>
    </row>
    <row r="20" spans="1:2" s="8" customFormat="1" ht="25.5" customHeight="1">
      <c r="A20" s="9" t="s">
        <v>38</v>
      </c>
      <c r="B20" s="107" t="s">
        <v>39</v>
      </c>
    </row>
    <row r="21" spans="1:2" s="8" customFormat="1" ht="25.5" customHeight="1">
      <c r="A21" s="9" t="s">
        <v>40</v>
      </c>
      <c r="B21" s="107" t="s">
        <v>41</v>
      </c>
    </row>
    <row r="22" spans="1:2" s="8" customFormat="1" ht="25.5" customHeight="1">
      <c r="A22" s="9" t="s">
        <v>42</v>
      </c>
      <c r="B22" s="107" t="s">
        <v>43</v>
      </c>
    </row>
    <row r="23" spans="1:2" s="8" customFormat="1" ht="25.5" customHeight="1">
      <c r="A23" s="9" t="s">
        <v>44</v>
      </c>
      <c r="B23" s="107" t="s">
        <v>45</v>
      </c>
    </row>
    <row r="24" spans="1:2" s="8" customFormat="1" ht="25.5" customHeight="1">
      <c r="A24" s="9" t="s">
        <v>46</v>
      </c>
      <c r="B24" s="107" t="s">
        <v>47</v>
      </c>
    </row>
    <row r="25" spans="1:2" s="8" customFormat="1" ht="25.5" customHeight="1">
      <c r="A25" s="9" t="s">
        <v>48</v>
      </c>
      <c r="B25" s="107" t="s">
        <v>49</v>
      </c>
    </row>
    <row r="26" spans="1:2" s="8" customFormat="1" ht="25.5" customHeight="1">
      <c r="A26" s="9" t="s">
        <v>50</v>
      </c>
      <c r="B26" s="107" t="s">
        <v>51</v>
      </c>
    </row>
    <row r="27" spans="1:2" s="8" customFormat="1" ht="25.5" customHeight="1">
      <c r="A27" s="9" t="s">
        <v>52</v>
      </c>
      <c r="B27" s="107" t="s">
        <v>53</v>
      </c>
    </row>
    <row r="28" spans="1:2" s="8" customFormat="1" ht="25.5" customHeight="1">
      <c r="A28" s="9" t="s">
        <v>54</v>
      </c>
      <c r="B28" s="107" t="s">
        <v>55</v>
      </c>
    </row>
    <row r="29" spans="1:2" s="8" customFormat="1" ht="25.5" customHeight="1">
      <c r="A29" s="9" t="s">
        <v>56</v>
      </c>
      <c r="B29" s="107" t="s">
        <v>57</v>
      </c>
    </row>
    <row r="30" spans="1:2" s="8" customFormat="1" ht="25.5" customHeight="1">
      <c r="A30" s="9" t="s">
        <v>58</v>
      </c>
      <c r="B30" s="107" t="s">
        <v>59</v>
      </c>
    </row>
    <row r="31" spans="1:2" s="8" customFormat="1" ht="25.5" customHeight="1">
      <c r="A31" s="9" t="s">
        <v>60</v>
      </c>
      <c r="B31" s="107" t="s">
        <v>61</v>
      </c>
    </row>
    <row r="32" spans="1:2" s="8" customFormat="1" ht="25.5" customHeight="1">
      <c r="A32" s="9" t="s">
        <v>62</v>
      </c>
      <c r="B32" s="107" t="s">
        <v>63</v>
      </c>
    </row>
    <row r="33" spans="1:2" s="8" customFormat="1" ht="25.5" customHeight="1">
      <c r="A33" s="9" t="s">
        <v>64</v>
      </c>
      <c r="B33" s="107" t="s">
        <v>65</v>
      </c>
    </row>
    <row r="34" spans="1:2" s="8" customFormat="1" ht="25.5" customHeight="1">
      <c r="A34" s="9" t="s">
        <v>66</v>
      </c>
      <c r="B34" s="107" t="s">
        <v>67</v>
      </c>
    </row>
    <row r="35" spans="1:2" s="8" customFormat="1" ht="25.5" customHeight="1">
      <c r="A35" s="9" t="s">
        <v>68</v>
      </c>
      <c r="B35" s="107" t="s">
        <v>69</v>
      </c>
    </row>
    <row r="36" spans="1:2" s="8" customFormat="1" ht="25.5" customHeight="1">
      <c r="A36" s="9" t="s">
        <v>70</v>
      </c>
      <c r="B36" s="107" t="s">
        <v>71</v>
      </c>
    </row>
    <row r="37" spans="1:2" s="8" customFormat="1" ht="25.5" customHeight="1">
      <c r="A37" s="9" t="s">
        <v>72</v>
      </c>
      <c r="B37" s="107" t="s">
        <v>73</v>
      </c>
    </row>
    <row r="38" spans="1:2" s="8" customFormat="1" ht="25.5" customHeight="1">
      <c r="A38" s="9" t="s">
        <v>74</v>
      </c>
      <c r="B38" s="107" t="s">
        <v>75</v>
      </c>
    </row>
    <row r="39" spans="1:2" s="8" customFormat="1" ht="25.5" customHeight="1">
      <c r="A39" s="9" t="s">
        <v>76</v>
      </c>
      <c r="B39" s="107" t="s">
        <v>77</v>
      </c>
    </row>
    <row r="40" spans="1:2" s="8" customFormat="1" ht="25.5" customHeight="1">
      <c r="A40" s="9" t="s">
        <v>78</v>
      </c>
      <c r="B40" s="107" t="s">
        <v>79</v>
      </c>
    </row>
    <row r="41" spans="1:2" s="8" customFormat="1" ht="25.5" customHeight="1">
      <c r="A41" s="9" t="s">
        <v>80</v>
      </c>
      <c r="B41" s="107" t="s">
        <v>81</v>
      </c>
    </row>
    <row r="42" spans="1:2" s="8" customFormat="1" ht="25.5" customHeight="1">
      <c r="A42" s="9" t="s">
        <v>82</v>
      </c>
      <c r="B42" s="107" t="s">
        <v>83</v>
      </c>
    </row>
    <row r="43" spans="1:2" s="8" customFormat="1" ht="25.5" customHeight="1">
      <c r="A43" s="9" t="s">
        <v>84</v>
      </c>
      <c r="B43" s="107" t="s">
        <v>85</v>
      </c>
    </row>
    <row r="44" spans="1:2" s="8" customFormat="1" ht="25.5" customHeight="1">
      <c r="A44" s="9" t="s">
        <v>86</v>
      </c>
      <c r="B44" s="107" t="s">
        <v>87</v>
      </c>
    </row>
    <row r="45" spans="1:2" s="8" customFormat="1" ht="25.5" customHeight="1">
      <c r="A45" s="9" t="s">
        <v>88</v>
      </c>
      <c r="B45" s="107" t="s">
        <v>89</v>
      </c>
    </row>
    <row r="46" spans="1:2" s="8" customFormat="1" ht="25.5" customHeight="1">
      <c r="A46" s="9" t="s">
        <v>90</v>
      </c>
      <c r="B46" s="107" t="s">
        <v>91</v>
      </c>
    </row>
    <row r="47" spans="1:2" s="8" customFormat="1" ht="25.5" customHeight="1">
      <c r="A47" s="9" t="s">
        <v>92</v>
      </c>
      <c r="B47" s="107" t="s">
        <v>93</v>
      </c>
    </row>
    <row r="48" spans="1:2" s="8" customFormat="1" ht="25.5" customHeight="1">
      <c r="A48" s="9" t="s">
        <v>94</v>
      </c>
      <c r="B48" s="107" t="s">
        <v>95</v>
      </c>
    </row>
    <row r="49" spans="1:2" s="8" customFormat="1" ht="25.5" customHeight="1">
      <c r="A49" s="9" t="s">
        <v>96</v>
      </c>
      <c r="B49" s="107" t="s">
        <v>97</v>
      </c>
    </row>
    <row r="50" spans="1:2" s="8" customFormat="1" ht="25.5" customHeight="1">
      <c r="A50" s="9" t="s">
        <v>98</v>
      </c>
      <c r="B50" s="107" t="s">
        <v>99</v>
      </c>
    </row>
    <row r="51" spans="1:2" s="8" customFormat="1" ht="25.5" customHeight="1">
      <c r="A51" s="9" t="s">
        <v>100</v>
      </c>
      <c r="B51" s="107" t="s">
        <v>101</v>
      </c>
    </row>
    <row r="52" spans="1:2" s="8" customFormat="1" ht="25.5" customHeight="1">
      <c r="A52" s="9" t="s">
        <v>102</v>
      </c>
      <c r="B52" s="107" t="s">
        <v>103</v>
      </c>
    </row>
    <row r="53" spans="1:2" s="8" customFormat="1" ht="25.5" customHeight="1">
      <c r="A53" s="9" t="s">
        <v>104</v>
      </c>
      <c r="B53" s="107" t="s">
        <v>105</v>
      </c>
    </row>
    <row r="54" spans="1:2" s="8" customFormat="1" ht="25.5" customHeight="1">
      <c r="A54" s="9" t="s">
        <v>106</v>
      </c>
      <c r="B54" s="107" t="s">
        <v>107</v>
      </c>
    </row>
    <row r="55" spans="1:2" s="8" customFormat="1" ht="25.5" customHeight="1">
      <c r="A55" s="9" t="s">
        <v>108</v>
      </c>
      <c r="B55" s="107" t="s">
        <v>109</v>
      </c>
    </row>
    <row r="56" spans="1:2" s="8" customFormat="1" ht="25.5" customHeight="1">
      <c r="A56" s="9" t="s">
        <v>110</v>
      </c>
      <c r="B56" s="107" t="s">
        <v>111</v>
      </c>
    </row>
    <row r="57" spans="1:2" s="8" customFormat="1" ht="25.5" customHeight="1">
      <c r="A57" s="9" t="s">
        <v>112</v>
      </c>
      <c r="B57" s="107" t="s">
        <v>113</v>
      </c>
    </row>
    <row r="58" spans="1:2" s="8" customFormat="1" ht="25.5" customHeight="1">
      <c r="A58" s="9" t="s">
        <v>114</v>
      </c>
      <c r="B58" s="107" t="s">
        <v>115</v>
      </c>
    </row>
    <row r="59" spans="1:2" s="8" customFormat="1" ht="25.5" customHeight="1">
      <c r="A59" s="9" t="s">
        <v>116</v>
      </c>
      <c r="B59" s="107" t="s">
        <v>117</v>
      </c>
    </row>
    <row r="60" spans="1:2" s="8" customFormat="1" ht="25.5" customHeight="1">
      <c r="A60" s="9" t="s">
        <v>118</v>
      </c>
      <c r="B60" s="107" t="s">
        <v>119</v>
      </c>
    </row>
    <row r="61" spans="1:2" s="8" customFormat="1" ht="25.5" customHeight="1">
      <c r="A61" s="9" t="s">
        <v>120</v>
      </c>
      <c r="B61" s="107" t="s">
        <v>121</v>
      </c>
    </row>
    <row r="62" spans="1:2" s="8" customFormat="1" ht="25.5" customHeight="1">
      <c r="A62" s="9" t="s">
        <v>122</v>
      </c>
      <c r="B62" s="107" t="s">
        <v>123</v>
      </c>
    </row>
    <row r="63" spans="1:2" s="8" customFormat="1" ht="25.5" customHeight="1">
      <c r="A63" s="9" t="s">
        <v>124</v>
      </c>
      <c r="B63" s="107" t="s">
        <v>125</v>
      </c>
    </row>
    <row r="64" spans="1:2" s="8" customFormat="1" ht="25.5" customHeight="1">
      <c r="A64" s="9" t="s">
        <v>126</v>
      </c>
      <c r="B64" s="107" t="s">
        <v>127</v>
      </c>
    </row>
    <row r="65" spans="1:2" s="8" customFormat="1" ht="25.5" customHeight="1">
      <c r="A65" s="9" t="s">
        <v>128</v>
      </c>
      <c r="B65" s="107" t="s">
        <v>129</v>
      </c>
    </row>
    <row r="66" spans="1:2" s="8" customFormat="1" ht="25.5" customHeight="1">
      <c r="A66" s="9" t="s">
        <v>130</v>
      </c>
      <c r="B66" s="107" t="s">
        <v>131</v>
      </c>
    </row>
    <row r="67" spans="1:2" s="8" customFormat="1" ht="25.5" customHeight="1">
      <c r="A67" s="9" t="s">
        <v>132</v>
      </c>
      <c r="B67" s="107" t="s">
        <v>133</v>
      </c>
    </row>
    <row r="68" spans="1:2" s="8" customFormat="1" ht="25.5" customHeight="1">
      <c r="A68" s="9" t="s">
        <v>134</v>
      </c>
      <c r="B68" s="107" t="s">
        <v>135</v>
      </c>
    </row>
    <row r="69" spans="1:2" s="8" customFormat="1" ht="25.5" customHeight="1">
      <c r="A69" s="9" t="s">
        <v>136</v>
      </c>
      <c r="B69" s="107" t="s">
        <v>137</v>
      </c>
    </row>
    <row r="70" spans="1:2" s="8" customFormat="1" ht="25.5" customHeight="1">
      <c r="A70" s="9" t="s">
        <v>138</v>
      </c>
      <c r="B70" s="107" t="s">
        <v>139</v>
      </c>
    </row>
    <row r="71" spans="1:2" s="8" customFormat="1" ht="25.5" customHeight="1">
      <c r="A71" s="9" t="s">
        <v>140</v>
      </c>
      <c r="B71" s="107" t="s">
        <v>141</v>
      </c>
    </row>
    <row r="72" spans="1:2" s="8" customFormat="1" ht="25.5" customHeight="1">
      <c r="A72" s="9" t="s">
        <v>142</v>
      </c>
      <c r="B72" s="107" t="s">
        <v>143</v>
      </c>
    </row>
    <row r="73" spans="1:2" s="8" customFormat="1" ht="25.5" customHeight="1">
      <c r="A73" s="9" t="s">
        <v>144</v>
      </c>
      <c r="B73" s="107" t="s">
        <v>145</v>
      </c>
    </row>
    <row r="74" spans="1:2" s="8" customFormat="1" ht="25.5" customHeight="1">
      <c r="A74" s="9" t="s">
        <v>146</v>
      </c>
      <c r="B74" s="107" t="s">
        <v>147</v>
      </c>
    </row>
    <row r="75" spans="1:2" s="8" customFormat="1" ht="25.5" customHeight="1">
      <c r="A75" s="9" t="s">
        <v>148</v>
      </c>
      <c r="B75" s="107" t="s">
        <v>149</v>
      </c>
    </row>
    <row r="76" spans="1:2" s="8" customFormat="1" ht="25.5" customHeight="1">
      <c r="A76" s="9" t="s">
        <v>150</v>
      </c>
      <c r="B76" s="107" t="s">
        <v>151</v>
      </c>
    </row>
    <row r="77" spans="1:2" s="8" customFormat="1" ht="25.5" customHeight="1">
      <c r="A77" s="9" t="s">
        <v>152</v>
      </c>
      <c r="B77" s="107" t="s">
        <v>153</v>
      </c>
    </row>
    <row r="78" spans="1:2" s="8" customFormat="1" ht="25.5" customHeight="1">
      <c r="A78" s="9" t="s">
        <v>154</v>
      </c>
      <c r="B78" s="107" t="s">
        <v>155</v>
      </c>
    </row>
    <row r="79" spans="1:2" s="8" customFormat="1" ht="25.5" customHeight="1">
      <c r="A79" s="9" t="s">
        <v>156</v>
      </c>
      <c r="B79" s="107" t="s">
        <v>157</v>
      </c>
    </row>
    <row r="80" spans="1:2" s="8" customFormat="1" ht="25.5" customHeight="1">
      <c r="A80" s="9" t="s">
        <v>158</v>
      </c>
      <c r="B80" s="107" t="s">
        <v>159</v>
      </c>
    </row>
    <row r="81" spans="1:2" s="8" customFormat="1" ht="25.5" customHeight="1">
      <c r="A81" s="9" t="s">
        <v>160</v>
      </c>
      <c r="B81" s="107" t="s">
        <v>161</v>
      </c>
    </row>
    <row r="82" spans="1:2" s="8" customFormat="1" ht="25.5" customHeight="1">
      <c r="A82" s="9" t="s">
        <v>162</v>
      </c>
      <c r="B82" s="107" t="s">
        <v>163</v>
      </c>
    </row>
    <row r="83" spans="1:2" s="8" customFormat="1" ht="25.5" customHeight="1">
      <c r="A83" s="9" t="s">
        <v>164</v>
      </c>
      <c r="B83" s="107" t="s">
        <v>165</v>
      </c>
    </row>
    <row r="84" spans="1:2" s="8" customFormat="1" ht="25.5" customHeight="1">
      <c r="A84" s="9" t="s">
        <v>166</v>
      </c>
      <c r="B84" s="107" t="s">
        <v>167</v>
      </c>
    </row>
    <row r="85" spans="1:2" s="8" customFormat="1" ht="25.5" customHeight="1">
      <c r="A85" s="9" t="s">
        <v>168</v>
      </c>
      <c r="B85" s="107" t="s">
        <v>169</v>
      </c>
    </row>
    <row r="86" spans="1:2" s="8" customFormat="1" ht="25.5" customHeight="1">
      <c r="A86" s="9" t="s">
        <v>170</v>
      </c>
      <c r="B86" s="107" t="s">
        <v>171</v>
      </c>
    </row>
    <row r="87" spans="1:2" s="8" customFormat="1" ht="25.5" customHeight="1">
      <c r="A87" s="9" t="s">
        <v>172</v>
      </c>
      <c r="B87" s="107" t="s">
        <v>173</v>
      </c>
    </row>
    <row r="88" spans="1:2" s="8" customFormat="1" ht="25.5" customHeight="1">
      <c r="A88" s="9" t="s">
        <v>174</v>
      </c>
      <c r="B88" s="107" t="s">
        <v>175</v>
      </c>
    </row>
    <row r="89" spans="1:2" s="8" customFormat="1" ht="25.5" customHeight="1">
      <c r="A89" s="9" t="s">
        <v>176</v>
      </c>
      <c r="B89" s="107" t="s">
        <v>177</v>
      </c>
    </row>
    <row r="90" spans="1:2" s="8" customFormat="1" ht="25.5" customHeight="1">
      <c r="A90" s="9" t="s">
        <v>178</v>
      </c>
      <c r="B90" s="107" t="s">
        <v>179</v>
      </c>
    </row>
    <row r="91" spans="1:2" s="8" customFormat="1" ht="25.5" customHeight="1">
      <c r="A91" s="9" t="s">
        <v>180</v>
      </c>
      <c r="B91" s="107" t="s">
        <v>181</v>
      </c>
    </row>
    <row r="92" spans="1:2" s="8" customFormat="1" ht="25.5" customHeight="1">
      <c r="A92" s="9" t="s">
        <v>182</v>
      </c>
      <c r="B92" s="107" t="s">
        <v>183</v>
      </c>
    </row>
    <row r="93" spans="1:2" s="8" customFormat="1" ht="25.5" customHeight="1">
      <c r="A93" s="9" t="s">
        <v>184</v>
      </c>
      <c r="B93" s="107" t="s">
        <v>185</v>
      </c>
    </row>
    <row r="94" spans="1:2" s="8" customFormat="1" ht="25.5" customHeight="1">
      <c r="A94" s="9" t="s">
        <v>186</v>
      </c>
      <c r="B94" s="107" t="s">
        <v>187</v>
      </c>
    </row>
    <row r="95" spans="1:2" s="8" customFormat="1" ht="25.5" customHeight="1">
      <c r="A95" s="9" t="s">
        <v>188</v>
      </c>
      <c r="B95" s="107" t="s">
        <v>189</v>
      </c>
    </row>
    <row r="96" spans="1:2" s="8" customFormat="1" ht="25.5" customHeight="1">
      <c r="A96" s="9" t="s">
        <v>190</v>
      </c>
      <c r="B96" s="107" t="s">
        <v>191</v>
      </c>
    </row>
    <row r="97" spans="1:2" s="8" customFormat="1" ht="25.5" customHeight="1">
      <c r="A97" s="9" t="s">
        <v>192</v>
      </c>
      <c r="B97" s="107" t="s">
        <v>193</v>
      </c>
    </row>
    <row r="98" spans="1:2" s="8" customFormat="1" ht="25.5" customHeight="1">
      <c r="A98" s="9" t="s">
        <v>194</v>
      </c>
      <c r="B98" s="107" t="s">
        <v>195</v>
      </c>
    </row>
    <row r="99" spans="1:2" s="8" customFormat="1" ht="25.5" customHeight="1">
      <c r="A99" s="9" t="s">
        <v>196</v>
      </c>
      <c r="B99" s="107" t="s">
        <v>197</v>
      </c>
    </row>
    <row r="100" spans="1:2" s="8" customFormat="1" ht="25.5" customHeight="1">
      <c r="A100" s="9" t="s">
        <v>198</v>
      </c>
      <c r="B100" s="107" t="s">
        <v>199</v>
      </c>
    </row>
    <row r="101" spans="1:2" s="8" customFormat="1" ht="25.5" customHeight="1">
      <c r="A101" s="9" t="s">
        <v>200</v>
      </c>
      <c r="B101" s="107" t="s">
        <v>201</v>
      </c>
    </row>
    <row r="102" spans="1:2" s="8" customFormat="1" ht="25.5" customHeight="1">
      <c r="A102" s="9" t="s">
        <v>202</v>
      </c>
      <c r="B102" s="107" t="s">
        <v>203</v>
      </c>
    </row>
    <row r="103" spans="1:2" s="8" customFormat="1" ht="25.5" customHeight="1">
      <c r="A103" s="9" t="s">
        <v>204</v>
      </c>
      <c r="B103" s="107" t="s">
        <v>205</v>
      </c>
    </row>
    <row r="104" spans="1:2" s="8" customFormat="1" ht="25.5" customHeight="1">
      <c r="A104" s="9" t="s">
        <v>206</v>
      </c>
      <c r="B104" s="107" t="s">
        <v>207</v>
      </c>
    </row>
    <row r="105" spans="1:2" s="8" customFormat="1" ht="25.5" customHeight="1">
      <c r="A105" s="9" t="s">
        <v>208</v>
      </c>
      <c r="B105" s="107" t="s">
        <v>209</v>
      </c>
    </row>
    <row r="106" spans="1:2" s="8" customFormat="1" ht="25.5" customHeight="1">
      <c r="A106" s="9" t="s">
        <v>210</v>
      </c>
      <c r="B106" s="107" t="s">
        <v>211</v>
      </c>
    </row>
    <row r="107" spans="1:2" s="8" customFormat="1" ht="25.5" customHeight="1">
      <c r="A107" s="9" t="s">
        <v>212</v>
      </c>
      <c r="B107" s="107" t="s">
        <v>213</v>
      </c>
    </row>
    <row r="108" spans="1:2" s="8" customFormat="1" ht="25.5" customHeight="1">
      <c r="A108" s="9" t="s">
        <v>214</v>
      </c>
      <c r="B108" s="107" t="s">
        <v>215</v>
      </c>
    </row>
    <row r="109" spans="1:2" s="8" customFormat="1" ht="25.5" customHeight="1">
      <c r="A109" s="9" t="s">
        <v>216</v>
      </c>
      <c r="B109" s="107" t="s">
        <v>217</v>
      </c>
    </row>
    <row r="110" spans="1:2" s="8" customFormat="1" ht="25.5" customHeight="1">
      <c r="A110" s="9" t="s">
        <v>218</v>
      </c>
      <c r="B110" s="107" t="s">
        <v>219</v>
      </c>
    </row>
    <row r="111" spans="1:2" s="8" customFormat="1" ht="25.5" customHeight="1">
      <c r="A111" s="9" t="s">
        <v>220</v>
      </c>
      <c r="B111" s="107" t="s">
        <v>221</v>
      </c>
    </row>
    <row r="112" spans="1:2" s="8" customFormat="1" ht="25.5" customHeight="1">
      <c r="A112" s="9" t="s">
        <v>222</v>
      </c>
      <c r="B112" s="107" t="s">
        <v>223</v>
      </c>
    </row>
    <row r="113" spans="1:2" s="8" customFormat="1" ht="25.5" customHeight="1">
      <c r="A113" s="9" t="s">
        <v>224</v>
      </c>
      <c r="B113" s="107" t="s">
        <v>225</v>
      </c>
    </row>
    <row r="114" spans="1:2" s="8" customFormat="1" ht="25.5" customHeight="1">
      <c r="A114" s="9" t="s">
        <v>226</v>
      </c>
      <c r="B114" s="107" t="s">
        <v>227</v>
      </c>
    </row>
    <row r="115" spans="1:2" s="8" customFormat="1" ht="25.5" customHeight="1">
      <c r="A115" s="9" t="s">
        <v>228</v>
      </c>
      <c r="B115" s="107" t="s">
        <v>229</v>
      </c>
    </row>
    <row r="116" spans="1:2" s="8" customFormat="1" ht="25.5" customHeight="1">
      <c r="A116" s="9" t="s">
        <v>230</v>
      </c>
      <c r="B116" s="107" t="s">
        <v>231</v>
      </c>
    </row>
    <row r="117" spans="1:2" s="8" customFormat="1" ht="25.5" customHeight="1">
      <c r="A117" s="9" t="s">
        <v>232</v>
      </c>
      <c r="B117" s="107" t="s">
        <v>233</v>
      </c>
    </row>
    <row r="118" spans="1:2" s="8" customFormat="1" ht="25.5" customHeight="1">
      <c r="A118" s="9" t="s">
        <v>234</v>
      </c>
      <c r="B118" s="107" t="s">
        <v>235</v>
      </c>
    </row>
    <row r="119" spans="1:2" s="8" customFormat="1" ht="25.5" customHeight="1">
      <c r="A119" s="9" t="s">
        <v>236</v>
      </c>
      <c r="B119" s="107" t="s">
        <v>237</v>
      </c>
    </row>
    <row r="120" spans="1:2" s="8" customFormat="1" ht="25.5" customHeight="1">
      <c r="A120" s="9" t="s">
        <v>238</v>
      </c>
      <c r="B120" s="107" t="s">
        <v>239</v>
      </c>
    </row>
    <row r="121" spans="1:2" s="8" customFormat="1" ht="25.5" customHeight="1">
      <c r="A121" s="9" t="s">
        <v>240</v>
      </c>
      <c r="B121" s="107" t="s">
        <v>241</v>
      </c>
    </row>
    <row r="122" spans="1:2" s="8" customFormat="1" ht="25.5" customHeight="1">
      <c r="A122" s="9" t="s">
        <v>242</v>
      </c>
      <c r="B122" s="107" t="s">
        <v>243</v>
      </c>
    </row>
    <row r="123" spans="1:2" s="8" customFormat="1" ht="25.5" customHeight="1">
      <c r="A123" s="9" t="s">
        <v>244</v>
      </c>
      <c r="B123" s="107" t="s">
        <v>245</v>
      </c>
    </row>
    <row r="124" spans="1:2" s="8" customFormat="1" ht="25.5" customHeight="1">
      <c r="A124" s="9" t="s">
        <v>246</v>
      </c>
      <c r="B124" s="107" t="s">
        <v>247</v>
      </c>
    </row>
    <row r="125" spans="1:2" s="8" customFormat="1" ht="25.5" customHeight="1">
      <c r="A125" s="9" t="s">
        <v>248</v>
      </c>
      <c r="B125" s="107" t="s">
        <v>249</v>
      </c>
    </row>
    <row r="126" spans="1:2" s="8" customFormat="1" ht="25.5" customHeight="1">
      <c r="A126" s="9" t="s">
        <v>250</v>
      </c>
      <c r="B126" s="107" t="s">
        <v>251</v>
      </c>
    </row>
    <row r="127" spans="1:2" s="8" customFormat="1" ht="25.5" customHeight="1">
      <c r="A127" s="9" t="s">
        <v>252</v>
      </c>
      <c r="B127" s="107" t="s">
        <v>253</v>
      </c>
    </row>
    <row r="128" spans="1:2" s="8" customFormat="1" ht="25.5" customHeight="1">
      <c r="A128" s="9" t="s">
        <v>254</v>
      </c>
      <c r="B128" s="107" t="s">
        <v>255</v>
      </c>
    </row>
    <row r="129" spans="1:2" s="8" customFormat="1" ht="25.5" customHeight="1">
      <c r="A129" s="9" t="s">
        <v>256</v>
      </c>
      <c r="B129" s="107" t="s">
        <v>257</v>
      </c>
    </row>
    <row r="130" spans="1:2" s="8" customFormat="1" ht="25.5" customHeight="1">
      <c r="A130" s="9" t="s">
        <v>258</v>
      </c>
      <c r="B130" s="107" t="s">
        <v>259</v>
      </c>
    </row>
    <row r="131" spans="1:2" s="8" customFormat="1" ht="25.5" customHeight="1">
      <c r="A131" s="9" t="s">
        <v>260</v>
      </c>
      <c r="B131" s="107" t="s">
        <v>261</v>
      </c>
    </row>
    <row r="132" spans="1:2" s="8" customFormat="1" ht="25.5" customHeight="1">
      <c r="A132" s="9" t="s">
        <v>262</v>
      </c>
      <c r="B132" s="107" t="s">
        <v>263</v>
      </c>
    </row>
    <row r="133" spans="1:2" s="8" customFormat="1" ht="25.5" customHeight="1">
      <c r="A133" s="9" t="s">
        <v>264</v>
      </c>
      <c r="B133" s="107" t="s">
        <v>265</v>
      </c>
    </row>
    <row r="134" spans="1:2" s="8" customFormat="1" ht="25.5" customHeight="1">
      <c r="A134" s="9" t="s">
        <v>266</v>
      </c>
      <c r="B134" s="107" t="s">
        <v>267</v>
      </c>
    </row>
    <row r="135" spans="1:2" s="8" customFormat="1" ht="25.5" customHeight="1">
      <c r="A135" s="9" t="s">
        <v>268</v>
      </c>
      <c r="B135" s="107" t="s">
        <v>269</v>
      </c>
    </row>
    <row r="136" spans="1:2" s="8" customFormat="1" ht="25.5" customHeight="1">
      <c r="A136" s="9" t="s">
        <v>270</v>
      </c>
      <c r="B136" s="107" t="s">
        <v>271</v>
      </c>
    </row>
    <row r="137" spans="1:2" s="8" customFormat="1" ht="25.5" customHeight="1">
      <c r="A137" s="9" t="s">
        <v>272</v>
      </c>
      <c r="B137" s="107" t="s">
        <v>273</v>
      </c>
    </row>
    <row r="138" spans="1:2" s="8" customFormat="1" ht="25.5" customHeight="1">
      <c r="A138" s="9" t="s">
        <v>274</v>
      </c>
      <c r="B138" s="107" t="s">
        <v>275</v>
      </c>
    </row>
    <row r="139" spans="1:2" s="8" customFormat="1" ht="25.5" customHeight="1">
      <c r="A139" s="9" t="s">
        <v>276</v>
      </c>
      <c r="B139" s="107" t="s">
        <v>277</v>
      </c>
    </row>
    <row r="140" spans="1:2" s="8" customFormat="1" ht="25.5" customHeight="1">
      <c r="A140" s="9" t="s">
        <v>278</v>
      </c>
      <c r="B140" s="107" t="s">
        <v>279</v>
      </c>
    </row>
    <row r="141" spans="1:2" s="8" customFormat="1" ht="25.5" customHeight="1">
      <c r="A141" s="9" t="s">
        <v>280</v>
      </c>
      <c r="B141" s="107" t="s">
        <v>281</v>
      </c>
    </row>
    <row r="142" spans="1:2" s="8" customFormat="1" ht="25.5" customHeight="1">
      <c r="A142" s="9" t="s">
        <v>282</v>
      </c>
      <c r="B142" s="107" t="s">
        <v>283</v>
      </c>
    </row>
    <row r="143" spans="1:2" s="8" customFormat="1" ht="25.5" customHeight="1">
      <c r="A143" s="9" t="s">
        <v>284</v>
      </c>
      <c r="B143" s="107" t="s">
        <v>285</v>
      </c>
    </row>
    <row r="144" spans="1:2" s="8" customFormat="1" ht="25.5" customHeight="1">
      <c r="A144" s="9" t="s">
        <v>286</v>
      </c>
      <c r="B144" s="107" t="s">
        <v>287</v>
      </c>
    </row>
    <row r="145" spans="1:2" s="8" customFormat="1" ht="25.5" customHeight="1">
      <c r="A145" s="9" t="s">
        <v>288</v>
      </c>
      <c r="B145" s="107" t="s">
        <v>289</v>
      </c>
    </row>
    <row r="146" spans="1:2" s="8" customFormat="1" ht="25.5" customHeight="1">
      <c r="A146" s="9" t="s">
        <v>290</v>
      </c>
      <c r="B146" s="107" t="s">
        <v>291</v>
      </c>
    </row>
    <row r="147" spans="1:2" s="8" customFormat="1" ht="25.5" customHeight="1">
      <c r="A147" s="9" t="s">
        <v>292</v>
      </c>
      <c r="B147" s="107" t="s">
        <v>293</v>
      </c>
    </row>
    <row r="148" spans="1:2" s="8" customFormat="1" ht="25.5" customHeight="1">
      <c r="A148" s="9" t="s">
        <v>294</v>
      </c>
      <c r="B148" s="107" t="s">
        <v>295</v>
      </c>
    </row>
    <row r="149" spans="1:2" s="8" customFormat="1" ht="25.5" customHeight="1">
      <c r="A149" s="9" t="s">
        <v>296</v>
      </c>
      <c r="B149" s="107" t="s">
        <v>297</v>
      </c>
    </row>
    <row r="150" spans="1:2" s="8" customFormat="1" ht="25.5" customHeight="1">
      <c r="A150" s="9" t="s">
        <v>298</v>
      </c>
      <c r="B150" s="107" t="s">
        <v>299</v>
      </c>
    </row>
    <row r="151" spans="1:2" s="8" customFormat="1" ht="25.5" customHeight="1">
      <c r="A151" s="9" t="s">
        <v>300</v>
      </c>
      <c r="B151" s="107" t="s">
        <v>301</v>
      </c>
    </row>
    <row r="152" spans="1:2" s="8" customFormat="1" ht="25.5" customHeight="1">
      <c r="A152" s="9" t="s">
        <v>302</v>
      </c>
      <c r="B152" s="107" t="s">
        <v>303</v>
      </c>
    </row>
    <row r="153" spans="1:2" s="8" customFormat="1" ht="25.5" customHeight="1">
      <c r="A153" s="9" t="s">
        <v>304</v>
      </c>
      <c r="B153" s="107" t="s">
        <v>305</v>
      </c>
    </row>
    <row r="154" spans="1:2" s="8" customFormat="1" ht="25.5" customHeight="1">
      <c r="A154" s="9" t="s">
        <v>306</v>
      </c>
      <c r="B154" s="107" t="s">
        <v>307</v>
      </c>
    </row>
    <row r="155" spans="1:2" s="8" customFormat="1" ht="25.5" customHeight="1">
      <c r="A155" s="9" t="s">
        <v>308</v>
      </c>
      <c r="B155" s="107" t="s">
        <v>309</v>
      </c>
    </row>
    <row r="156" spans="1:2" s="8" customFormat="1" ht="25.5" customHeight="1">
      <c r="A156" s="9" t="s">
        <v>310</v>
      </c>
      <c r="B156" s="107" t="s">
        <v>311</v>
      </c>
    </row>
    <row r="157" spans="1:2" s="8" customFormat="1" ht="25.5" customHeight="1">
      <c r="A157" s="9" t="s">
        <v>312</v>
      </c>
      <c r="B157" s="107" t="s">
        <v>313</v>
      </c>
    </row>
    <row r="158" spans="1:2" s="8" customFormat="1" ht="25.5" customHeight="1">
      <c r="A158" s="9" t="s">
        <v>314</v>
      </c>
      <c r="B158" s="107" t="s">
        <v>315</v>
      </c>
    </row>
    <row r="159" spans="1:2" s="8" customFormat="1" ht="25.5" customHeight="1">
      <c r="A159" s="9" t="s">
        <v>316</v>
      </c>
      <c r="B159" s="107" t="s">
        <v>317</v>
      </c>
    </row>
    <row r="160" spans="1:2" s="8" customFormat="1" ht="25.5" customHeight="1">
      <c r="A160" s="9" t="s">
        <v>318</v>
      </c>
      <c r="B160" s="107" t="s">
        <v>319</v>
      </c>
    </row>
    <row r="161" spans="1:2" s="8" customFormat="1" ht="25.5" customHeight="1">
      <c r="A161" s="9" t="s">
        <v>320</v>
      </c>
      <c r="B161" s="107" t="s">
        <v>321</v>
      </c>
    </row>
    <row r="162" spans="1:2" s="8" customFormat="1" ht="25.5" customHeight="1">
      <c r="A162" s="9" t="s">
        <v>322</v>
      </c>
      <c r="B162" s="107" t="s">
        <v>323</v>
      </c>
    </row>
    <row r="163" spans="1:2" s="8" customFormat="1" ht="25.5" customHeight="1">
      <c r="A163" s="9" t="s">
        <v>324</v>
      </c>
      <c r="B163" s="107" t="s">
        <v>325</v>
      </c>
    </row>
    <row r="164" spans="1:2" s="8" customFormat="1" ht="25.5" customHeight="1">
      <c r="A164" s="9" t="s">
        <v>326</v>
      </c>
      <c r="B164" s="107" t="s">
        <v>327</v>
      </c>
    </row>
    <row r="165" spans="1:2" s="8" customFormat="1" ht="25.5" customHeight="1">
      <c r="A165" s="9" t="s">
        <v>328</v>
      </c>
      <c r="B165" s="107" t="s">
        <v>329</v>
      </c>
    </row>
    <row r="166" spans="1:2" s="8" customFormat="1" ht="25.5" customHeight="1">
      <c r="A166" s="9" t="s">
        <v>330</v>
      </c>
      <c r="B166" s="107" t="s">
        <v>331</v>
      </c>
    </row>
    <row r="167" spans="1:2" s="8" customFormat="1" ht="25.5" customHeight="1">
      <c r="A167" s="9" t="s">
        <v>332</v>
      </c>
      <c r="B167" s="107" t="s">
        <v>333</v>
      </c>
    </row>
    <row r="168" spans="1:2" s="8" customFormat="1" ht="25.5" customHeight="1">
      <c r="A168" s="9" t="s">
        <v>334</v>
      </c>
      <c r="B168" s="107" t="s">
        <v>335</v>
      </c>
    </row>
    <row r="169" spans="1:2" s="8" customFormat="1" ht="25.5" customHeight="1">
      <c r="A169" s="9" t="s">
        <v>336</v>
      </c>
      <c r="B169" s="107" t="s">
        <v>337</v>
      </c>
    </row>
    <row r="170" spans="1:2" s="8" customFormat="1" ht="25.5" customHeight="1">
      <c r="A170" s="9" t="s">
        <v>338</v>
      </c>
      <c r="B170" s="107" t="s">
        <v>339</v>
      </c>
    </row>
    <row r="171" spans="1:2" s="8" customFormat="1" ht="25.5" customHeight="1">
      <c r="A171" s="9" t="s">
        <v>340</v>
      </c>
      <c r="B171" s="107" t="s">
        <v>341</v>
      </c>
    </row>
    <row r="172" spans="1:2" s="8" customFormat="1" ht="25.5" customHeight="1">
      <c r="A172" s="9" t="s">
        <v>342</v>
      </c>
      <c r="B172" s="107" t="s">
        <v>343</v>
      </c>
    </row>
    <row r="173" spans="1:2" s="8" customFormat="1" ht="25.5" customHeight="1">
      <c r="A173" s="9" t="s">
        <v>344</v>
      </c>
      <c r="B173" s="107" t="s">
        <v>345</v>
      </c>
    </row>
    <row r="174" spans="1:2" s="8" customFormat="1" ht="25.5" customHeight="1">
      <c r="A174" s="9" t="s">
        <v>346</v>
      </c>
      <c r="B174" s="107" t="s">
        <v>347</v>
      </c>
    </row>
    <row r="175" spans="1:2" s="8" customFormat="1" ht="25.5" customHeight="1">
      <c r="A175" s="9" t="s">
        <v>348</v>
      </c>
      <c r="B175" s="107" t="s">
        <v>349</v>
      </c>
    </row>
    <row r="176" spans="1:2" s="8" customFormat="1" ht="25.5" customHeight="1">
      <c r="A176" s="9" t="s">
        <v>350</v>
      </c>
      <c r="B176" s="107" t="s">
        <v>351</v>
      </c>
    </row>
    <row r="177" spans="1:2" s="8" customFormat="1" ht="25.5" customHeight="1">
      <c r="A177" s="9" t="s">
        <v>352</v>
      </c>
      <c r="B177" s="107" t="s">
        <v>353</v>
      </c>
    </row>
    <row r="178" spans="1:2" s="8" customFormat="1" ht="25.5" customHeight="1">
      <c r="A178" s="9" t="s">
        <v>354</v>
      </c>
      <c r="B178" s="107" t="s">
        <v>355</v>
      </c>
    </row>
    <row r="179" spans="1:2" s="8" customFormat="1" ht="25.5" customHeight="1">
      <c r="A179" s="9" t="s">
        <v>356</v>
      </c>
      <c r="B179" s="107" t="s">
        <v>357</v>
      </c>
    </row>
    <row r="180" spans="1:2" s="8" customFormat="1" ht="25.5" customHeight="1">
      <c r="A180" s="9" t="s">
        <v>358</v>
      </c>
      <c r="B180" s="107" t="s">
        <v>359</v>
      </c>
    </row>
    <row r="181" spans="1:2" s="8" customFormat="1" ht="25.5" customHeight="1">
      <c r="A181" s="9" t="s">
        <v>360</v>
      </c>
      <c r="B181" s="107" t="s">
        <v>361</v>
      </c>
    </row>
    <row r="182" spans="1:2" s="8" customFormat="1" ht="25.5" customHeight="1">
      <c r="A182" s="9" t="s">
        <v>362</v>
      </c>
      <c r="B182" s="107" t="s">
        <v>363</v>
      </c>
    </row>
    <row r="183" spans="1:2" s="8" customFormat="1" ht="25.5" customHeight="1">
      <c r="A183" s="9" t="s">
        <v>364</v>
      </c>
      <c r="B183" s="107" t="s">
        <v>365</v>
      </c>
    </row>
    <row r="184" spans="1:2" s="8" customFormat="1" ht="25.5" customHeight="1">
      <c r="A184" s="9" t="s">
        <v>366</v>
      </c>
      <c r="B184" s="107" t="s">
        <v>367</v>
      </c>
    </row>
    <row r="185" spans="1:2" s="8" customFormat="1" ht="25.5" customHeight="1">
      <c r="A185" s="9" t="s">
        <v>368</v>
      </c>
      <c r="B185" s="107" t="s">
        <v>369</v>
      </c>
    </row>
    <row r="186" spans="1:2" s="8" customFormat="1" ht="25.5" customHeight="1">
      <c r="A186" s="9" t="s">
        <v>370</v>
      </c>
      <c r="B186" s="107" t="s">
        <v>371</v>
      </c>
    </row>
    <row r="187" spans="1:2" s="8" customFormat="1" ht="25.5" customHeight="1">
      <c r="A187" s="9" t="s">
        <v>372</v>
      </c>
      <c r="B187" s="107" t="s">
        <v>373</v>
      </c>
    </row>
    <row r="188" spans="1:2" s="8" customFormat="1" ht="25.5" customHeight="1">
      <c r="A188" s="9" t="s">
        <v>374</v>
      </c>
      <c r="B188" s="107" t="s">
        <v>375</v>
      </c>
    </row>
    <row r="189" spans="1:2" s="8" customFormat="1" ht="25.5" customHeight="1">
      <c r="A189" s="9" t="s">
        <v>376</v>
      </c>
      <c r="B189" s="107" t="s">
        <v>377</v>
      </c>
    </row>
    <row r="190" spans="1:2" s="8" customFormat="1" ht="25.5" customHeight="1">
      <c r="A190" s="9" t="s">
        <v>378</v>
      </c>
      <c r="B190" s="107" t="s">
        <v>379</v>
      </c>
    </row>
    <row r="191" spans="1:2" s="8" customFormat="1" ht="25.5" customHeight="1">
      <c r="A191" s="9" t="s">
        <v>380</v>
      </c>
      <c r="B191" s="107" t="s">
        <v>381</v>
      </c>
    </row>
    <row r="192" spans="1:2" s="8" customFormat="1" ht="25.5" customHeight="1">
      <c r="A192" s="9" t="s">
        <v>382</v>
      </c>
      <c r="B192" s="107" t="s">
        <v>383</v>
      </c>
    </row>
    <row r="193" spans="1:2" s="8" customFormat="1" ht="25.5" customHeight="1">
      <c r="A193" s="9" t="s">
        <v>384</v>
      </c>
      <c r="B193" s="107" t="s">
        <v>385</v>
      </c>
    </row>
    <row r="194" spans="1:2" s="8" customFormat="1" ht="25.5" customHeight="1">
      <c r="A194" s="9" t="s">
        <v>386</v>
      </c>
      <c r="B194" s="107" t="s">
        <v>387</v>
      </c>
    </row>
    <row r="195" spans="1:2" s="8" customFormat="1" ht="25.5" customHeight="1">
      <c r="A195" s="9" t="s">
        <v>388</v>
      </c>
      <c r="B195" s="107" t="s">
        <v>389</v>
      </c>
    </row>
    <row r="196" spans="1:2" s="8" customFormat="1" ht="25.5" customHeight="1">
      <c r="A196" s="9" t="s">
        <v>390</v>
      </c>
      <c r="B196" s="107" t="s">
        <v>391</v>
      </c>
    </row>
    <row r="197" spans="1:2" s="8" customFormat="1" ht="25.5" customHeight="1">
      <c r="A197" s="9" t="s">
        <v>392</v>
      </c>
      <c r="B197" s="107" t="s">
        <v>393</v>
      </c>
    </row>
    <row r="198" spans="1:2" s="8" customFormat="1" ht="25.5" customHeight="1">
      <c r="A198" s="9" t="s">
        <v>394</v>
      </c>
      <c r="B198" s="107" t="s">
        <v>395</v>
      </c>
    </row>
    <row r="199" spans="1:2" s="8" customFormat="1" ht="25.5" customHeight="1">
      <c r="A199" s="9" t="s">
        <v>396</v>
      </c>
      <c r="B199" s="107" t="s">
        <v>397</v>
      </c>
    </row>
    <row r="200" spans="1:2" s="8" customFormat="1" ht="25.5" customHeight="1">
      <c r="A200" s="9" t="s">
        <v>398</v>
      </c>
      <c r="B200" s="107" t="s">
        <v>399</v>
      </c>
    </row>
    <row r="201" spans="1:2" s="8" customFormat="1" ht="25.5" customHeight="1">
      <c r="A201" s="9" t="s">
        <v>400</v>
      </c>
      <c r="B201" s="107" t="s">
        <v>401</v>
      </c>
    </row>
    <row r="202" spans="1:2" s="8" customFormat="1" ht="25.5" customHeight="1">
      <c r="A202" s="9" t="s">
        <v>402</v>
      </c>
      <c r="B202" s="107" t="s">
        <v>403</v>
      </c>
    </row>
    <row r="203" spans="1:2" s="8" customFormat="1" ht="25.5" customHeight="1">
      <c r="A203" s="9" t="s">
        <v>404</v>
      </c>
      <c r="B203" s="107" t="s">
        <v>405</v>
      </c>
    </row>
    <row r="204" spans="1:2" s="8" customFormat="1" ht="25.5" customHeight="1">
      <c r="A204" s="9" t="s">
        <v>406</v>
      </c>
      <c r="B204" s="107" t="s">
        <v>407</v>
      </c>
    </row>
    <row r="205" spans="1:2" s="8" customFormat="1" ht="25.5" customHeight="1">
      <c r="A205" s="9" t="s">
        <v>408</v>
      </c>
      <c r="B205" s="107" t="s">
        <v>409</v>
      </c>
    </row>
    <row r="206" spans="1:2" s="8" customFormat="1" ht="25.5" customHeight="1">
      <c r="A206" s="9" t="s">
        <v>410</v>
      </c>
      <c r="B206" s="107" t="s">
        <v>411</v>
      </c>
    </row>
    <row r="207" spans="1:2" s="8" customFormat="1" ht="25.5" customHeight="1">
      <c r="A207" s="9" t="s">
        <v>412</v>
      </c>
      <c r="B207" s="107" t="s">
        <v>413</v>
      </c>
    </row>
    <row r="208" spans="1:2" s="8" customFormat="1" ht="25.5" customHeight="1">
      <c r="A208" s="9" t="s">
        <v>414</v>
      </c>
      <c r="B208" s="107" t="s">
        <v>415</v>
      </c>
    </row>
    <row r="209" spans="1:2" s="8" customFormat="1" ht="25.5" customHeight="1">
      <c r="A209" s="9" t="s">
        <v>416</v>
      </c>
      <c r="B209" s="107" t="s">
        <v>417</v>
      </c>
    </row>
    <row r="210" spans="1:2" s="8" customFormat="1" ht="25.5" customHeight="1">
      <c r="A210" s="9" t="s">
        <v>418</v>
      </c>
      <c r="B210" s="107" t="s">
        <v>419</v>
      </c>
    </row>
    <row r="211" spans="1:2" s="8" customFormat="1" ht="25.5" customHeight="1">
      <c r="A211" s="9" t="s">
        <v>420</v>
      </c>
      <c r="B211" s="107" t="s">
        <v>421</v>
      </c>
    </row>
    <row r="212" spans="1:2" s="8" customFormat="1" ht="25.5" customHeight="1">
      <c r="A212" s="9" t="s">
        <v>422</v>
      </c>
      <c r="B212" s="107" t="s">
        <v>423</v>
      </c>
    </row>
    <row r="213" spans="1:2" s="8" customFormat="1" ht="25.5" customHeight="1">
      <c r="A213" s="9" t="s">
        <v>424</v>
      </c>
      <c r="B213" s="107" t="s">
        <v>425</v>
      </c>
    </row>
    <row r="214" spans="1:2" s="8" customFormat="1" ht="25.5" customHeight="1">
      <c r="A214" s="9" t="s">
        <v>426</v>
      </c>
      <c r="B214" s="107" t="s">
        <v>427</v>
      </c>
    </row>
    <row r="215" spans="1:2" s="8" customFormat="1" ht="25.5" customHeight="1">
      <c r="A215" s="9" t="s">
        <v>428</v>
      </c>
      <c r="B215" s="107" t="s">
        <v>429</v>
      </c>
    </row>
    <row r="216" spans="1:2" s="8" customFormat="1" ht="25.5" customHeight="1">
      <c r="A216" s="9" t="s">
        <v>430</v>
      </c>
      <c r="B216" s="107" t="s">
        <v>431</v>
      </c>
    </row>
    <row r="217" spans="1:2" s="8" customFormat="1" ht="25.5" customHeight="1">
      <c r="A217" s="9" t="s">
        <v>432</v>
      </c>
      <c r="B217" s="107" t="s">
        <v>433</v>
      </c>
    </row>
    <row r="218" spans="1:2" s="8" customFormat="1" ht="25.5" customHeight="1">
      <c r="A218" s="9" t="s">
        <v>434</v>
      </c>
      <c r="B218" s="107" t="s">
        <v>435</v>
      </c>
    </row>
    <row r="219" spans="1:2" s="8" customFormat="1" ht="25.5" customHeight="1">
      <c r="A219" s="9" t="s">
        <v>436</v>
      </c>
      <c r="B219" s="107" t="s">
        <v>437</v>
      </c>
    </row>
    <row r="220" spans="1:2" s="8" customFormat="1" ht="25.5" customHeight="1">
      <c r="A220" s="9" t="s">
        <v>438</v>
      </c>
      <c r="B220" s="107" t="s">
        <v>439</v>
      </c>
    </row>
    <row r="221" spans="1:2" s="8" customFormat="1" ht="25.5" customHeight="1">
      <c r="A221" s="9" t="s">
        <v>440</v>
      </c>
      <c r="B221" s="107" t="s">
        <v>441</v>
      </c>
    </row>
    <row r="222" spans="1:2" s="8" customFormat="1" ht="25.5" customHeight="1">
      <c r="A222" s="9" t="s">
        <v>442</v>
      </c>
      <c r="B222" s="107" t="s">
        <v>443</v>
      </c>
    </row>
    <row r="223" spans="1:2" s="8" customFormat="1" ht="25.5" customHeight="1">
      <c r="A223" s="9" t="s">
        <v>444</v>
      </c>
      <c r="B223" s="107" t="s">
        <v>445</v>
      </c>
    </row>
    <row r="224" spans="1:2" s="8" customFormat="1" ht="25.5" customHeight="1">
      <c r="A224" s="9" t="s">
        <v>446</v>
      </c>
      <c r="B224" s="107" t="s">
        <v>447</v>
      </c>
    </row>
    <row r="225" spans="1:2" s="8" customFormat="1" ht="25.5" customHeight="1">
      <c r="A225" s="9" t="s">
        <v>448</v>
      </c>
      <c r="B225" s="107" t="s">
        <v>449</v>
      </c>
    </row>
    <row r="226" spans="1:2" s="8" customFormat="1" ht="25.5" customHeight="1">
      <c r="A226" s="9" t="s">
        <v>450</v>
      </c>
      <c r="B226" s="107" t="s">
        <v>451</v>
      </c>
    </row>
    <row r="227" spans="1:2" s="8" customFormat="1" ht="25.5" customHeight="1">
      <c r="A227" s="9" t="s">
        <v>452</v>
      </c>
      <c r="B227" s="107" t="s">
        <v>453</v>
      </c>
    </row>
    <row r="228" spans="1:2" s="8" customFormat="1" ht="25.5" customHeight="1">
      <c r="A228" s="9" t="s">
        <v>454</v>
      </c>
      <c r="B228" s="107" t="s">
        <v>455</v>
      </c>
    </row>
    <row r="229" spans="1:2" s="8" customFormat="1" ht="25.5" customHeight="1">
      <c r="A229" s="9" t="s">
        <v>456</v>
      </c>
      <c r="B229" s="107" t="s">
        <v>457</v>
      </c>
    </row>
    <row r="230" spans="1:2" s="8" customFormat="1" ht="25.5" customHeight="1">
      <c r="A230" s="9" t="s">
        <v>458</v>
      </c>
      <c r="B230" s="107" t="s">
        <v>459</v>
      </c>
    </row>
    <row r="231" spans="1:2" s="8" customFormat="1" ht="25.5" customHeight="1">
      <c r="A231" s="9" t="s">
        <v>460</v>
      </c>
      <c r="B231" s="107" t="s">
        <v>461</v>
      </c>
    </row>
    <row r="232" spans="1:2" s="8" customFormat="1" ht="25.5" customHeight="1">
      <c r="A232" s="9" t="s">
        <v>462</v>
      </c>
      <c r="B232" s="107" t="s">
        <v>463</v>
      </c>
    </row>
    <row r="233" spans="1:2" s="8" customFormat="1" ht="25.5" customHeight="1">
      <c r="A233" s="9" t="s">
        <v>464</v>
      </c>
      <c r="B233" s="107" t="s">
        <v>465</v>
      </c>
    </row>
    <row r="234" spans="1:2" s="8" customFormat="1" ht="25.5" customHeight="1">
      <c r="A234" s="9" t="s">
        <v>466</v>
      </c>
      <c r="B234" s="107" t="s">
        <v>467</v>
      </c>
    </row>
    <row r="235" spans="1:2" s="8" customFormat="1" ht="25.5" customHeight="1">
      <c r="A235" s="9" t="s">
        <v>468</v>
      </c>
      <c r="B235" s="107" t="s">
        <v>469</v>
      </c>
    </row>
    <row r="236" spans="1:2" s="8" customFormat="1" ht="25.5" customHeight="1">
      <c r="A236" s="9" t="s">
        <v>470</v>
      </c>
      <c r="B236" s="107" t="s">
        <v>471</v>
      </c>
    </row>
    <row r="237" spans="1:2" s="8" customFormat="1" ht="25.5" customHeight="1">
      <c r="A237" s="9" t="s">
        <v>472</v>
      </c>
      <c r="B237" s="107" t="s">
        <v>473</v>
      </c>
    </row>
    <row r="238" spans="1:2" s="8" customFormat="1" ht="25.5" customHeight="1">
      <c r="A238" s="9" t="s">
        <v>474</v>
      </c>
      <c r="B238" s="107" t="s">
        <v>475</v>
      </c>
    </row>
    <row r="239" spans="1:2" s="8" customFormat="1" ht="25.5" customHeight="1">
      <c r="A239" s="9" t="s">
        <v>476</v>
      </c>
      <c r="B239" s="107" t="s">
        <v>477</v>
      </c>
    </row>
    <row r="240" spans="1:2" s="8" customFormat="1" ht="25.5" customHeight="1">
      <c r="A240" s="9" t="s">
        <v>478</v>
      </c>
      <c r="B240" s="107" t="s">
        <v>479</v>
      </c>
    </row>
    <row r="241" spans="1:2" s="8" customFormat="1" ht="25.5" customHeight="1">
      <c r="A241" s="9" t="s">
        <v>480</v>
      </c>
      <c r="B241" s="107" t="s">
        <v>481</v>
      </c>
    </row>
    <row r="242" spans="1:2" s="8" customFormat="1" ht="25.5" customHeight="1">
      <c r="A242" s="9" t="s">
        <v>482</v>
      </c>
      <c r="B242" s="107" t="s">
        <v>483</v>
      </c>
    </row>
    <row r="243" spans="1:2" s="8" customFormat="1" ht="25.5" customHeight="1">
      <c r="A243" s="9" t="s">
        <v>484</v>
      </c>
      <c r="B243" s="107" t="s">
        <v>485</v>
      </c>
    </row>
    <row r="244" spans="1:2" s="8" customFormat="1" ht="25.5" customHeight="1">
      <c r="A244" s="9" t="s">
        <v>486</v>
      </c>
      <c r="B244" s="107" t="s">
        <v>487</v>
      </c>
    </row>
    <row r="245" spans="1:2" s="8" customFormat="1" ht="25.5" customHeight="1">
      <c r="A245" s="9" t="s">
        <v>488</v>
      </c>
      <c r="B245" s="107" t="s">
        <v>489</v>
      </c>
    </row>
    <row r="246" spans="1:2" s="8" customFormat="1" ht="25.5" customHeight="1">
      <c r="A246" s="9" t="s">
        <v>490</v>
      </c>
      <c r="B246" s="107" t="s">
        <v>491</v>
      </c>
    </row>
    <row r="247" spans="1:2" s="8" customFormat="1" ht="25.5" customHeight="1">
      <c r="A247" s="9" t="s">
        <v>492</v>
      </c>
      <c r="B247" s="107" t="s">
        <v>493</v>
      </c>
    </row>
    <row r="248" spans="1:2" s="8" customFormat="1" ht="25.5" customHeight="1">
      <c r="A248" s="9" t="s">
        <v>494</v>
      </c>
      <c r="B248" s="107" t="s">
        <v>495</v>
      </c>
    </row>
    <row r="249" spans="1:2" s="8" customFormat="1" ht="25.5" customHeight="1">
      <c r="A249" s="9" t="s">
        <v>496</v>
      </c>
      <c r="B249" s="107" t="s">
        <v>497</v>
      </c>
    </row>
    <row r="250" spans="1:2" s="8" customFormat="1" ht="25.5" customHeight="1">
      <c r="A250" s="9" t="s">
        <v>498</v>
      </c>
      <c r="B250" s="107" t="s">
        <v>499</v>
      </c>
    </row>
    <row r="251" spans="1:2" s="8" customFormat="1" ht="25.5" customHeight="1">
      <c r="A251" s="9" t="s">
        <v>500</v>
      </c>
      <c r="B251" s="107" t="s">
        <v>501</v>
      </c>
    </row>
    <row r="252" spans="1:2" s="8" customFormat="1" ht="25.5" customHeight="1">
      <c r="A252" s="9" t="s">
        <v>502</v>
      </c>
      <c r="B252" s="107" t="s">
        <v>503</v>
      </c>
    </row>
    <row r="253" spans="1:2" s="8" customFormat="1" ht="25.5" customHeight="1">
      <c r="A253" s="9" t="s">
        <v>504</v>
      </c>
      <c r="B253" s="107" t="s">
        <v>505</v>
      </c>
    </row>
    <row r="254" spans="1:2" s="8" customFormat="1" ht="25.5" customHeight="1">
      <c r="A254" s="9" t="s">
        <v>506</v>
      </c>
      <c r="B254" s="107" t="s">
        <v>507</v>
      </c>
    </row>
    <row r="255" spans="1:2" s="8" customFormat="1" ht="25.5" customHeight="1">
      <c r="A255" s="9" t="s">
        <v>508</v>
      </c>
      <c r="B255" s="107" t="s">
        <v>509</v>
      </c>
    </row>
    <row r="256" spans="1:2" s="8" customFormat="1" ht="25.5" customHeight="1">
      <c r="A256" s="9" t="s">
        <v>510</v>
      </c>
      <c r="B256" s="107" t="s">
        <v>511</v>
      </c>
    </row>
    <row r="257" spans="1:2" s="8" customFormat="1" ht="25.5" customHeight="1">
      <c r="A257" s="9" t="s">
        <v>512</v>
      </c>
      <c r="B257" s="107" t="s">
        <v>513</v>
      </c>
    </row>
    <row r="258" spans="1:2" s="8" customFormat="1" ht="25.5" customHeight="1">
      <c r="A258" s="9" t="s">
        <v>514</v>
      </c>
      <c r="B258" s="107" t="s">
        <v>515</v>
      </c>
    </row>
    <row r="259" spans="1:2" s="8" customFormat="1" ht="25.5" customHeight="1">
      <c r="A259" s="9" t="s">
        <v>516</v>
      </c>
      <c r="B259" s="107" t="s">
        <v>517</v>
      </c>
    </row>
    <row r="260" spans="1:2" s="8" customFormat="1" ht="25.5" customHeight="1">
      <c r="A260" s="9" t="s">
        <v>518</v>
      </c>
      <c r="B260" s="107" t="s">
        <v>519</v>
      </c>
    </row>
    <row r="261" spans="1:2" s="8" customFormat="1" ht="25.5" customHeight="1">
      <c r="A261" s="9" t="s">
        <v>520</v>
      </c>
      <c r="B261" s="107" t="s">
        <v>521</v>
      </c>
    </row>
    <row r="262" spans="1:2" s="8" customFormat="1" ht="25.5" customHeight="1">
      <c r="A262" s="9" t="s">
        <v>522</v>
      </c>
      <c r="B262" s="107" t="s">
        <v>523</v>
      </c>
    </row>
    <row r="263" spans="1:2" s="8" customFormat="1" ht="25.5" customHeight="1">
      <c r="A263" s="9" t="s">
        <v>524</v>
      </c>
      <c r="B263" s="107" t="s">
        <v>525</v>
      </c>
    </row>
    <row r="264" spans="1:2" s="8" customFormat="1" ht="25.5" customHeight="1">
      <c r="A264" s="9" t="s">
        <v>526</v>
      </c>
      <c r="B264" s="107" t="s">
        <v>527</v>
      </c>
    </row>
    <row r="265" spans="1:2" s="8" customFormat="1" ht="25.5" customHeight="1">
      <c r="A265" s="9" t="s">
        <v>528</v>
      </c>
      <c r="B265" s="107" t="s">
        <v>529</v>
      </c>
    </row>
    <row r="266" spans="1:2" s="8" customFormat="1" ht="25.5" customHeight="1">
      <c r="A266" s="9" t="s">
        <v>530</v>
      </c>
      <c r="B266" s="107" t="s">
        <v>531</v>
      </c>
    </row>
    <row r="267" spans="1:2" s="8" customFormat="1" ht="25.5" customHeight="1">
      <c r="A267" s="9" t="s">
        <v>532</v>
      </c>
      <c r="B267" s="107" t="s">
        <v>533</v>
      </c>
    </row>
    <row r="268" spans="1:2" s="8" customFormat="1" ht="25.5" customHeight="1">
      <c r="A268" s="9" t="s">
        <v>534</v>
      </c>
      <c r="B268" s="107" t="s">
        <v>535</v>
      </c>
    </row>
    <row r="269" spans="1:2" s="8" customFormat="1" ht="25.5" customHeight="1">
      <c r="A269" s="9" t="s">
        <v>536</v>
      </c>
      <c r="B269" s="107" t="s">
        <v>537</v>
      </c>
    </row>
    <row r="270" spans="1:2" s="8" customFormat="1" ht="25.5" customHeight="1">
      <c r="A270" s="9" t="s">
        <v>538</v>
      </c>
      <c r="B270" s="107" t="s">
        <v>539</v>
      </c>
    </row>
    <row r="271" spans="1:2" s="8" customFormat="1" ht="25.5" customHeight="1">
      <c r="A271" s="9" t="s">
        <v>540</v>
      </c>
      <c r="B271" s="107" t="s">
        <v>541</v>
      </c>
    </row>
    <row r="272" spans="1:2" s="8" customFormat="1" ht="25.5" customHeight="1">
      <c r="A272" s="9" t="s">
        <v>542</v>
      </c>
      <c r="B272" s="107" t="s">
        <v>543</v>
      </c>
    </row>
    <row r="273" spans="1:2" s="8" customFormat="1" ht="25.5" customHeight="1">
      <c r="A273" s="9" t="s">
        <v>544</v>
      </c>
      <c r="B273" s="107" t="s">
        <v>545</v>
      </c>
    </row>
    <row r="274" spans="1:2" s="8" customFormat="1" ht="25.5" customHeight="1">
      <c r="A274" s="9" t="s">
        <v>546</v>
      </c>
      <c r="B274" s="107" t="s">
        <v>547</v>
      </c>
    </row>
    <row r="275" spans="1:2" s="8" customFormat="1" ht="25.5" customHeight="1">
      <c r="A275" s="9" t="s">
        <v>548</v>
      </c>
      <c r="B275" s="107" t="s">
        <v>549</v>
      </c>
    </row>
    <row r="276" spans="1:2" s="8" customFormat="1" ht="25.5" customHeight="1">
      <c r="A276" s="9" t="s">
        <v>550</v>
      </c>
      <c r="B276" s="107" t="s">
        <v>551</v>
      </c>
    </row>
    <row r="277" spans="1:2" s="8" customFormat="1" ht="25.5" customHeight="1">
      <c r="A277" s="9" t="s">
        <v>552</v>
      </c>
      <c r="B277" s="107" t="s">
        <v>553</v>
      </c>
    </row>
    <row r="278" spans="1:2" s="8" customFormat="1" ht="25.5" customHeight="1">
      <c r="A278" s="9" t="s">
        <v>554</v>
      </c>
      <c r="B278" s="107" t="s">
        <v>555</v>
      </c>
    </row>
    <row r="279" spans="1:2" s="8" customFormat="1" ht="25.5" customHeight="1">
      <c r="A279" s="9" t="s">
        <v>556</v>
      </c>
      <c r="B279" s="107" t="s">
        <v>557</v>
      </c>
    </row>
    <row r="280" spans="1:2" s="8" customFormat="1" ht="25.5" customHeight="1">
      <c r="A280" s="9" t="s">
        <v>558</v>
      </c>
      <c r="B280" s="107" t="s">
        <v>559</v>
      </c>
    </row>
    <row r="281" spans="1:2" s="8" customFormat="1" ht="25.5" customHeight="1">
      <c r="A281" s="9" t="s">
        <v>560</v>
      </c>
      <c r="B281" s="107" t="s">
        <v>561</v>
      </c>
    </row>
    <row r="282" spans="1:2" s="8" customFormat="1" ht="25.5" customHeight="1">
      <c r="A282" s="9" t="s">
        <v>562</v>
      </c>
      <c r="B282" s="107" t="s">
        <v>563</v>
      </c>
    </row>
    <row r="283" spans="1:2" s="8" customFormat="1" ht="25.5" customHeight="1">
      <c r="A283" s="9" t="s">
        <v>564</v>
      </c>
      <c r="B283" s="107" t="s">
        <v>565</v>
      </c>
    </row>
    <row r="284" spans="1:2" s="8" customFormat="1" ht="25.5" customHeight="1">
      <c r="A284" s="9" t="s">
        <v>566</v>
      </c>
      <c r="B284" s="107" t="s">
        <v>567</v>
      </c>
    </row>
    <row r="285" spans="1:2" s="8" customFormat="1" ht="25.5" customHeight="1">
      <c r="A285" s="9" t="s">
        <v>568</v>
      </c>
      <c r="B285" s="107" t="s">
        <v>569</v>
      </c>
    </row>
    <row r="286" spans="1:2" s="8" customFormat="1" ht="25.5" customHeight="1">
      <c r="A286" s="9" t="s">
        <v>570</v>
      </c>
      <c r="B286" s="107" t="s">
        <v>571</v>
      </c>
    </row>
    <row r="287" spans="1:2" s="8" customFormat="1" ht="25.5" customHeight="1">
      <c r="A287" s="9" t="s">
        <v>572</v>
      </c>
      <c r="B287" s="107" t="s">
        <v>573</v>
      </c>
    </row>
    <row r="288" spans="1:2" s="8" customFormat="1" ht="25.5" customHeight="1">
      <c r="A288" s="9" t="s">
        <v>574</v>
      </c>
      <c r="B288" s="107" t="s">
        <v>575</v>
      </c>
    </row>
    <row r="289" spans="1:2" s="8" customFormat="1" ht="25.5" customHeight="1">
      <c r="A289" s="9" t="s">
        <v>576</v>
      </c>
      <c r="B289" s="107" t="s">
        <v>577</v>
      </c>
    </row>
    <row r="290" spans="1:2" s="8" customFormat="1" ht="25.5" customHeight="1">
      <c r="A290" s="9" t="s">
        <v>578</v>
      </c>
      <c r="B290" s="107" t="s">
        <v>579</v>
      </c>
    </row>
    <row r="291" spans="1:2" s="8" customFormat="1" ht="25.5" customHeight="1">
      <c r="A291" s="9" t="s">
        <v>580</v>
      </c>
      <c r="B291" s="107" t="s">
        <v>581</v>
      </c>
    </row>
    <row r="292" spans="1:2" s="8" customFormat="1" ht="25.5" customHeight="1">
      <c r="A292" s="9" t="s">
        <v>582</v>
      </c>
      <c r="B292" s="107" t="s">
        <v>583</v>
      </c>
    </row>
    <row r="293" spans="1:2" s="8" customFormat="1" ht="25.5" customHeight="1">
      <c r="A293" s="9" t="s">
        <v>584</v>
      </c>
      <c r="B293" s="107" t="s">
        <v>585</v>
      </c>
    </row>
    <row r="294" spans="1:2" s="8" customFormat="1" ht="25.5" customHeight="1">
      <c r="A294" s="9" t="s">
        <v>586</v>
      </c>
      <c r="B294" s="107" t="s">
        <v>587</v>
      </c>
    </row>
    <row r="295" spans="1:2" s="8" customFormat="1" ht="25.5" customHeight="1">
      <c r="A295" s="9" t="s">
        <v>588</v>
      </c>
      <c r="B295" s="107" t="s">
        <v>589</v>
      </c>
    </row>
    <row r="296" spans="1:2" s="8" customFormat="1" ht="25.5" customHeight="1">
      <c r="A296" s="9" t="s">
        <v>590</v>
      </c>
      <c r="B296" s="107" t="s">
        <v>591</v>
      </c>
    </row>
    <row r="297" spans="1:2" s="8" customFormat="1" ht="25.5" customHeight="1">
      <c r="A297" s="9" t="s">
        <v>592</v>
      </c>
      <c r="B297" s="107" t="s">
        <v>593</v>
      </c>
    </row>
    <row r="298" spans="1:2" s="8" customFormat="1" ht="25.5" customHeight="1">
      <c r="A298" s="9" t="s">
        <v>594</v>
      </c>
      <c r="B298" s="107" t="s">
        <v>595</v>
      </c>
    </row>
    <row r="299" spans="1:2" s="8" customFormat="1" ht="25.5" customHeight="1">
      <c r="A299" s="9" t="s">
        <v>596</v>
      </c>
      <c r="B299" s="107" t="s">
        <v>597</v>
      </c>
    </row>
    <row r="300" spans="1:2" s="8" customFormat="1" ht="25.5" customHeight="1">
      <c r="A300" s="9" t="s">
        <v>598</v>
      </c>
      <c r="B300" s="107" t="s">
        <v>599</v>
      </c>
    </row>
    <row r="301" spans="1:2" s="8" customFormat="1" ht="25.5" customHeight="1">
      <c r="A301" s="9" t="s">
        <v>600</v>
      </c>
      <c r="B301" s="107" t="s">
        <v>601</v>
      </c>
    </row>
    <row r="302" spans="1:2" s="8" customFormat="1" ht="25.5" customHeight="1">
      <c r="A302" s="9" t="s">
        <v>602</v>
      </c>
      <c r="B302" s="107" t="s">
        <v>603</v>
      </c>
    </row>
    <row r="303" spans="1:2" s="8" customFormat="1" ht="25.5" customHeight="1">
      <c r="A303" s="9" t="s">
        <v>604</v>
      </c>
      <c r="B303" s="107" t="s">
        <v>605</v>
      </c>
    </row>
    <row r="304" spans="1:2" s="8" customFormat="1" ht="25.5" customHeight="1">
      <c r="A304" s="9" t="s">
        <v>606</v>
      </c>
      <c r="B304" s="107" t="s">
        <v>607</v>
      </c>
    </row>
    <row r="305" spans="1:2" s="8" customFormat="1" ht="25.5" customHeight="1">
      <c r="A305" s="9" t="s">
        <v>608</v>
      </c>
      <c r="B305" s="107" t="s">
        <v>609</v>
      </c>
    </row>
    <row r="306" spans="1:2" s="8" customFormat="1" ht="25.5" customHeight="1">
      <c r="A306" s="9" t="s">
        <v>610</v>
      </c>
      <c r="B306" s="107" t="s">
        <v>611</v>
      </c>
    </row>
    <row r="307" spans="1:2" s="8" customFormat="1" ht="25.5" customHeight="1">
      <c r="A307" s="9" t="s">
        <v>612</v>
      </c>
      <c r="B307" s="107" t="s">
        <v>613</v>
      </c>
    </row>
    <row r="308" spans="1:2" s="8" customFormat="1" ht="25.5" customHeight="1">
      <c r="A308" s="9" t="s">
        <v>614</v>
      </c>
      <c r="B308" s="107" t="s">
        <v>615</v>
      </c>
    </row>
    <row r="309" spans="1:2" s="8" customFormat="1" ht="25.5" customHeight="1">
      <c r="A309" s="9" t="s">
        <v>616</v>
      </c>
      <c r="B309" s="107" t="s">
        <v>617</v>
      </c>
    </row>
    <row r="310" spans="1:2" s="8" customFormat="1" ht="25.5" customHeight="1">
      <c r="A310" s="9" t="s">
        <v>618</v>
      </c>
      <c r="B310" s="107" t="s">
        <v>619</v>
      </c>
    </row>
    <row r="311" spans="1:2" s="8" customFormat="1" ht="25.5" customHeight="1">
      <c r="A311" s="9" t="s">
        <v>620</v>
      </c>
      <c r="B311" s="107" t="s">
        <v>621</v>
      </c>
    </row>
    <row r="312" spans="1:2" s="8" customFormat="1" ht="25.5" customHeight="1">
      <c r="A312" s="9" t="s">
        <v>622</v>
      </c>
      <c r="B312" s="107" t="s">
        <v>623</v>
      </c>
    </row>
    <row r="313" spans="1:2" s="8" customFormat="1" ht="25.5" customHeight="1">
      <c r="A313" s="9" t="s">
        <v>624</v>
      </c>
      <c r="B313" s="107" t="s">
        <v>625</v>
      </c>
    </row>
    <row r="314" spans="1:2" s="8" customFormat="1" ht="25.5" customHeight="1">
      <c r="A314" s="9" t="s">
        <v>626</v>
      </c>
      <c r="B314" s="107" t="s">
        <v>627</v>
      </c>
    </row>
    <row r="315" spans="1:2" s="8" customFormat="1" ht="25.5" customHeight="1">
      <c r="A315" s="9" t="s">
        <v>628</v>
      </c>
      <c r="B315" s="107" t="s">
        <v>629</v>
      </c>
    </row>
    <row r="316" spans="1:2" s="8" customFormat="1" ht="25.5" customHeight="1">
      <c r="A316" s="9" t="s">
        <v>630</v>
      </c>
      <c r="B316" s="107" t="s">
        <v>631</v>
      </c>
    </row>
    <row r="317" spans="1:2" s="8" customFormat="1" ht="25.5" customHeight="1">
      <c r="A317" s="9" t="s">
        <v>632</v>
      </c>
      <c r="B317" s="107" t="s">
        <v>633</v>
      </c>
    </row>
    <row r="318" spans="1:2" s="8" customFormat="1" ht="25.5" customHeight="1">
      <c r="A318" s="9" t="s">
        <v>634</v>
      </c>
      <c r="B318" s="107" t="s">
        <v>635</v>
      </c>
    </row>
    <row r="319" spans="1:2" s="8" customFormat="1" ht="25.5" customHeight="1">
      <c r="A319" s="9" t="s">
        <v>636</v>
      </c>
      <c r="B319" s="107" t="s">
        <v>637</v>
      </c>
    </row>
    <row r="320" spans="1:2" s="8" customFormat="1" ht="25.5" customHeight="1">
      <c r="A320" s="9" t="s">
        <v>638</v>
      </c>
      <c r="B320" s="107" t="s">
        <v>639</v>
      </c>
    </row>
    <row r="321" spans="1:2" s="8" customFormat="1" ht="25.5" customHeight="1">
      <c r="A321" s="9" t="s">
        <v>640</v>
      </c>
      <c r="B321" s="107" t="s">
        <v>641</v>
      </c>
    </row>
    <row r="322" spans="1:2" s="8" customFormat="1" ht="25.5" customHeight="1">
      <c r="A322" s="9" t="s">
        <v>642</v>
      </c>
      <c r="B322" s="107" t="s">
        <v>643</v>
      </c>
    </row>
    <row r="323" spans="1:2" s="8" customFormat="1" ht="25.5" customHeight="1">
      <c r="A323" s="9" t="s">
        <v>644</v>
      </c>
      <c r="B323" s="107" t="s">
        <v>645</v>
      </c>
    </row>
    <row r="324" spans="1:2" s="8" customFormat="1" ht="25.5" customHeight="1">
      <c r="A324" s="9" t="s">
        <v>646</v>
      </c>
      <c r="B324" s="107" t="s">
        <v>647</v>
      </c>
    </row>
    <row r="325" spans="1:2" s="8" customFormat="1" ht="25.5" customHeight="1">
      <c r="A325" s="9" t="s">
        <v>648</v>
      </c>
      <c r="B325" s="107" t="s">
        <v>649</v>
      </c>
    </row>
    <row r="326" spans="1:2" s="8" customFormat="1" ht="25.5" customHeight="1">
      <c r="A326" s="9" t="s">
        <v>650</v>
      </c>
      <c r="B326" s="107" t="s">
        <v>651</v>
      </c>
    </row>
    <row r="327" spans="1:2" s="8" customFormat="1" ht="25.5" customHeight="1">
      <c r="A327" s="9" t="s">
        <v>652</v>
      </c>
      <c r="B327" s="107" t="s">
        <v>653</v>
      </c>
    </row>
    <row r="328" spans="1:2" s="8" customFormat="1" ht="25.5" customHeight="1">
      <c r="A328" s="9" t="s">
        <v>654</v>
      </c>
      <c r="B328" s="107" t="s">
        <v>655</v>
      </c>
    </row>
    <row r="329" spans="1:2" s="8" customFormat="1" ht="25.5" customHeight="1">
      <c r="A329" s="9" t="s">
        <v>656</v>
      </c>
      <c r="B329" s="107" t="s">
        <v>657</v>
      </c>
    </row>
    <row r="330" spans="1:2" s="8" customFormat="1" ht="25.5" customHeight="1">
      <c r="A330" s="9" t="s">
        <v>658</v>
      </c>
      <c r="B330" s="107" t="s">
        <v>659</v>
      </c>
    </row>
    <row r="331" spans="1:2" s="8" customFormat="1" ht="25.5" customHeight="1">
      <c r="A331" s="9" t="s">
        <v>660</v>
      </c>
      <c r="B331" s="107" t="s">
        <v>661</v>
      </c>
    </row>
    <row r="332" spans="1:2" s="8" customFormat="1" ht="25.5" customHeight="1">
      <c r="A332" s="9" t="s">
        <v>662</v>
      </c>
      <c r="B332" s="107" t="s">
        <v>663</v>
      </c>
    </row>
    <row r="333" spans="1:2" s="8" customFormat="1" ht="25.5" customHeight="1">
      <c r="A333" s="9" t="s">
        <v>664</v>
      </c>
      <c r="B333" s="107" t="s">
        <v>665</v>
      </c>
    </row>
    <row r="334" spans="1:2" s="8" customFormat="1" ht="25.5" customHeight="1">
      <c r="A334" s="9" t="s">
        <v>666</v>
      </c>
      <c r="B334" s="107" t="s">
        <v>667</v>
      </c>
    </row>
    <row r="335" spans="1:2" s="8" customFormat="1" ht="25.5" customHeight="1">
      <c r="A335" s="9" t="s">
        <v>668</v>
      </c>
      <c r="B335" s="107" t="s">
        <v>669</v>
      </c>
    </row>
    <row r="336" spans="1:2" s="8" customFormat="1" ht="25.5" customHeight="1">
      <c r="A336" s="9" t="s">
        <v>670</v>
      </c>
      <c r="B336" s="107" t="s">
        <v>671</v>
      </c>
    </row>
    <row r="337" spans="1:2" s="8" customFormat="1" ht="25.5" customHeight="1">
      <c r="A337" s="9" t="s">
        <v>672</v>
      </c>
      <c r="B337" s="107" t="s">
        <v>673</v>
      </c>
    </row>
    <row r="338" spans="1:2" s="8" customFormat="1" ht="25.5" customHeight="1">
      <c r="A338" s="9" t="s">
        <v>674</v>
      </c>
      <c r="B338" s="107" t="s">
        <v>675</v>
      </c>
    </row>
    <row r="339" spans="1:2" s="8" customFormat="1" ht="25.5" customHeight="1">
      <c r="A339" s="9" t="s">
        <v>676</v>
      </c>
      <c r="B339" s="107" t="s">
        <v>677</v>
      </c>
    </row>
    <row r="340" spans="1:2" s="8" customFormat="1" ht="25.5" customHeight="1">
      <c r="A340" s="9" t="s">
        <v>678</v>
      </c>
      <c r="B340" s="107" t="s">
        <v>679</v>
      </c>
    </row>
    <row r="341" spans="1:2" s="8" customFormat="1" ht="25.5" customHeight="1">
      <c r="A341" s="9" t="s">
        <v>680</v>
      </c>
      <c r="B341" s="107" t="s">
        <v>681</v>
      </c>
    </row>
    <row r="342" spans="1:2" s="8" customFormat="1" ht="25.5" customHeight="1">
      <c r="A342" s="9" t="s">
        <v>682</v>
      </c>
      <c r="B342" s="107" t="s">
        <v>683</v>
      </c>
    </row>
    <row r="343" spans="1:2" s="8" customFormat="1" ht="25.5" customHeight="1">
      <c r="A343" s="9" t="s">
        <v>684</v>
      </c>
      <c r="B343" s="107" t="s">
        <v>685</v>
      </c>
    </row>
    <row r="344" spans="1:2" s="8" customFormat="1" ht="25.5" customHeight="1">
      <c r="A344" s="9" t="s">
        <v>686</v>
      </c>
      <c r="B344" s="107" t="s">
        <v>687</v>
      </c>
    </row>
    <row r="345" spans="1:2" s="8" customFormat="1" ht="25.5" customHeight="1">
      <c r="A345" s="9" t="s">
        <v>688</v>
      </c>
      <c r="B345" s="107" t="s">
        <v>689</v>
      </c>
    </row>
    <row r="346" spans="1:2" s="8" customFormat="1" ht="25.5" customHeight="1">
      <c r="A346" s="9" t="s">
        <v>690</v>
      </c>
      <c r="B346" s="107" t="s">
        <v>691</v>
      </c>
    </row>
    <row r="347" spans="1:2" s="8" customFormat="1" ht="25.5" customHeight="1">
      <c r="A347" s="9" t="s">
        <v>692</v>
      </c>
      <c r="B347" s="107" t="s">
        <v>693</v>
      </c>
    </row>
    <row r="348" spans="1:2" s="8" customFormat="1" ht="25.5" customHeight="1">
      <c r="A348" s="9" t="s">
        <v>694</v>
      </c>
      <c r="B348" s="107" t="s">
        <v>695</v>
      </c>
    </row>
    <row r="349" spans="1:2" s="8" customFormat="1" ht="25.5" customHeight="1">
      <c r="A349" s="9" t="s">
        <v>696</v>
      </c>
      <c r="B349" s="107" t="s">
        <v>697</v>
      </c>
    </row>
    <row r="350" spans="1:2" s="8" customFormat="1" ht="25.5" customHeight="1">
      <c r="A350" s="9" t="s">
        <v>698</v>
      </c>
      <c r="B350" s="107" t="s">
        <v>699</v>
      </c>
    </row>
    <row r="351" spans="1:2" s="8" customFormat="1" ht="25.5" customHeight="1">
      <c r="A351" s="9" t="s">
        <v>700</v>
      </c>
      <c r="B351" s="107" t="s">
        <v>701</v>
      </c>
    </row>
    <row r="352" spans="1:2" s="8" customFormat="1" ht="25.5" customHeight="1">
      <c r="A352" s="9" t="s">
        <v>702</v>
      </c>
      <c r="B352" s="107" t="s">
        <v>703</v>
      </c>
    </row>
    <row r="353" spans="1:2" s="8" customFormat="1" ht="25.5" customHeight="1">
      <c r="A353" s="9" t="s">
        <v>704</v>
      </c>
      <c r="B353" s="107" t="s">
        <v>705</v>
      </c>
    </row>
    <row r="354" spans="1:2" s="8" customFormat="1" ht="25.5" customHeight="1">
      <c r="A354" s="9" t="s">
        <v>706</v>
      </c>
      <c r="B354" s="107" t="s">
        <v>707</v>
      </c>
    </row>
    <row r="355" spans="1:2" s="8" customFormat="1" ht="25.5" customHeight="1">
      <c r="A355" s="9" t="s">
        <v>708</v>
      </c>
      <c r="B355" s="107" t="s">
        <v>709</v>
      </c>
    </row>
    <row r="356" spans="1:2" s="8" customFormat="1" ht="25.5" customHeight="1">
      <c r="A356" s="9" t="s">
        <v>710</v>
      </c>
      <c r="B356" s="107" t="s">
        <v>711</v>
      </c>
    </row>
    <row r="357" spans="1:2" s="8" customFormat="1" ht="25.5" customHeight="1">
      <c r="A357" s="9" t="s">
        <v>712</v>
      </c>
      <c r="B357" s="107" t="s">
        <v>713</v>
      </c>
    </row>
    <row r="358" spans="1:2" s="8" customFormat="1" ht="25.5" customHeight="1">
      <c r="A358" s="9" t="s">
        <v>714</v>
      </c>
      <c r="B358" s="107" t="s">
        <v>715</v>
      </c>
    </row>
    <row r="359" spans="1:2" s="8" customFormat="1" ht="25.5" customHeight="1">
      <c r="A359" s="9" t="s">
        <v>716</v>
      </c>
      <c r="B359" s="107" t="s">
        <v>717</v>
      </c>
    </row>
    <row r="360" spans="1:2" s="8" customFormat="1" ht="25.5" customHeight="1">
      <c r="A360" s="9" t="s">
        <v>718</v>
      </c>
      <c r="B360" s="107" t="s">
        <v>719</v>
      </c>
    </row>
    <row r="361" spans="1:2" s="8" customFormat="1" ht="25.5" customHeight="1">
      <c r="A361" s="9" t="s">
        <v>720</v>
      </c>
      <c r="B361" s="107" t="s">
        <v>721</v>
      </c>
    </row>
    <row r="362" spans="1:2" s="8" customFormat="1" ht="25.5" customHeight="1">
      <c r="A362" s="9" t="s">
        <v>722</v>
      </c>
      <c r="B362" s="107" t="s">
        <v>723</v>
      </c>
    </row>
    <row r="363" spans="1:2" s="8" customFormat="1" ht="25.5" customHeight="1">
      <c r="A363" s="9" t="s">
        <v>724</v>
      </c>
      <c r="B363" s="107" t="s">
        <v>725</v>
      </c>
    </row>
    <row r="364" spans="1:2" s="8" customFormat="1" ht="25.5" customHeight="1">
      <c r="A364" s="9" t="s">
        <v>726</v>
      </c>
      <c r="B364" s="107" t="s">
        <v>727</v>
      </c>
    </row>
    <row r="365" spans="1:2" s="8" customFormat="1" ht="25.5" customHeight="1">
      <c r="A365" s="9" t="s">
        <v>728</v>
      </c>
      <c r="B365" s="107" t="s">
        <v>729</v>
      </c>
    </row>
    <row r="366" spans="1:2" s="8" customFormat="1" ht="25.5" customHeight="1">
      <c r="A366" s="9" t="s">
        <v>730</v>
      </c>
      <c r="B366" s="107" t="s">
        <v>731</v>
      </c>
    </row>
    <row r="367" spans="1:2" s="8" customFormat="1" ht="25.5" customHeight="1">
      <c r="A367" s="9" t="s">
        <v>732</v>
      </c>
      <c r="B367" s="107" t="s">
        <v>733</v>
      </c>
    </row>
    <row r="368" spans="1:2" s="8" customFormat="1" ht="25.5" customHeight="1">
      <c r="A368" s="9" t="s">
        <v>734</v>
      </c>
      <c r="B368" s="107" t="s">
        <v>735</v>
      </c>
    </row>
    <row r="369" spans="1:2" s="8" customFormat="1" ht="25.5" customHeight="1">
      <c r="A369" s="9" t="s">
        <v>736</v>
      </c>
      <c r="B369" s="107" t="s">
        <v>737</v>
      </c>
    </row>
    <row r="370" spans="1:2" s="8" customFormat="1" ht="25.5" customHeight="1">
      <c r="A370" s="9" t="s">
        <v>738</v>
      </c>
      <c r="B370" s="107" t="s">
        <v>739</v>
      </c>
    </row>
    <row r="371" spans="1:2" s="8" customFormat="1" ht="25.5" customHeight="1">
      <c r="A371" s="9" t="s">
        <v>740</v>
      </c>
      <c r="B371" s="107" t="s">
        <v>741</v>
      </c>
    </row>
    <row r="372" spans="1:2" s="8" customFormat="1" ht="25.5" customHeight="1">
      <c r="A372" s="9" t="s">
        <v>742</v>
      </c>
      <c r="B372" s="107" t="s">
        <v>743</v>
      </c>
    </row>
    <row r="373" spans="1:2" s="8" customFormat="1" ht="25.5" customHeight="1">
      <c r="A373" s="9" t="s">
        <v>744</v>
      </c>
      <c r="B373" s="107" t="s">
        <v>745</v>
      </c>
    </row>
    <row r="374" spans="1:2" s="8" customFormat="1" ht="25.5" customHeight="1">
      <c r="A374" s="9" t="s">
        <v>746</v>
      </c>
      <c r="B374" s="107" t="s">
        <v>747</v>
      </c>
    </row>
    <row r="375" spans="1:2" s="8" customFormat="1" ht="25.5" customHeight="1">
      <c r="A375" s="9" t="s">
        <v>748</v>
      </c>
      <c r="B375" s="107" t="s">
        <v>749</v>
      </c>
    </row>
    <row r="376" spans="1:2" s="8" customFormat="1" ht="25.5" customHeight="1">
      <c r="A376" s="9" t="s">
        <v>750</v>
      </c>
      <c r="B376" s="107" t="s">
        <v>751</v>
      </c>
    </row>
    <row r="377" spans="1:2" s="8" customFormat="1" ht="25.5" customHeight="1">
      <c r="A377" s="9" t="s">
        <v>752</v>
      </c>
      <c r="B377" s="107" t="s">
        <v>753</v>
      </c>
    </row>
    <row r="378" spans="1:2" s="8" customFormat="1" ht="25.5" customHeight="1">
      <c r="A378" s="9" t="s">
        <v>754</v>
      </c>
      <c r="B378" s="107" t="s">
        <v>755</v>
      </c>
    </row>
    <row r="379" spans="1:2" s="8" customFormat="1" ht="25.5" customHeight="1">
      <c r="A379" s="9" t="s">
        <v>756</v>
      </c>
      <c r="B379" s="107" t="s">
        <v>757</v>
      </c>
    </row>
    <row r="380" spans="1:2" s="8" customFormat="1" ht="25.5" customHeight="1">
      <c r="A380" s="9" t="s">
        <v>758</v>
      </c>
      <c r="B380" s="107" t="s">
        <v>759</v>
      </c>
    </row>
    <row r="381" spans="1:2" s="8" customFormat="1" ht="25.5" customHeight="1">
      <c r="A381" s="9" t="s">
        <v>760</v>
      </c>
      <c r="B381" s="107" t="s">
        <v>761</v>
      </c>
    </row>
    <row r="382" spans="1:2" s="8" customFormat="1" ht="25.5" customHeight="1">
      <c r="A382" s="9" t="s">
        <v>762</v>
      </c>
      <c r="B382" s="107" t="s">
        <v>763</v>
      </c>
    </row>
    <row r="383" spans="1:2" s="8" customFormat="1" ht="25.5" customHeight="1">
      <c r="A383" s="9" t="s">
        <v>764</v>
      </c>
      <c r="B383" s="107" t="s">
        <v>765</v>
      </c>
    </row>
    <row r="384" spans="1:2" s="8" customFormat="1" ht="25.5" customHeight="1">
      <c r="A384" s="9" t="s">
        <v>766</v>
      </c>
      <c r="B384" s="107" t="s">
        <v>767</v>
      </c>
    </row>
    <row r="385" spans="1:2" s="8" customFormat="1" ht="25.5" customHeight="1">
      <c r="A385" s="9" t="s">
        <v>768</v>
      </c>
      <c r="B385" s="107" t="s">
        <v>769</v>
      </c>
    </row>
    <row r="386" spans="1:2" s="8" customFormat="1" ht="25.5" customHeight="1">
      <c r="A386" s="9" t="s">
        <v>770</v>
      </c>
      <c r="B386" s="107" t="s">
        <v>771</v>
      </c>
    </row>
    <row r="387" spans="1:2" s="8" customFormat="1" ht="25.5" customHeight="1">
      <c r="A387" s="9" t="s">
        <v>772</v>
      </c>
      <c r="B387" s="107" t="s">
        <v>773</v>
      </c>
    </row>
    <row r="388" spans="1:2" s="8" customFormat="1" ht="25.5" customHeight="1">
      <c r="A388" s="9" t="s">
        <v>774</v>
      </c>
      <c r="B388" s="107" t="s">
        <v>775</v>
      </c>
    </row>
    <row r="389" spans="1:2" s="8" customFormat="1" ht="25.5" customHeight="1">
      <c r="A389" s="9" t="s">
        <v>776</v>
      </c>
      <c r="B389" s="107" t="s">
        <v>777</v>
      </c>
    </row>
    <row r="390" spans="1:2" s="8" customFormat="1" ht="25.5" customHeight="1">
      <c r="A390" s="9" t="s">
        <v>778</v>
      </c>
      <c r="B390" s="107" t="s">
        <v>779</v>
      </c>
    </row>
    <row r="391" spans="1:2" s="8" customFormat="1" ht="25.5" customHeight="1">
      <c r="A391" s="9" t="s">
        <v>780</v>
      </c>
      <c r="B391" s="107" t="s">
        <v>781</v>
      </c>
    </row>
    <row r="392" spans="1:2" s="8" customFormat="1" ht="25.5" customHeight="1">
      <c r="A392" s="9" t="s">
        <v>782</v>
      </c>
      <c r="B392" s="107" t="s">
        <v>783</v>
      </c>
    </row>
    <row r="393" spans="1:2" s="8" customFormat="1" ht="25.5" customHeight="1">
      <c r="A393" s="9" t="s">
        <v>784</v>
      </c>
      <c r="B393" s="107" t="s">
        <v>785</v>
      </c>
    </row>
    <row r="394" spans="1:2" s="8" customFormat="1" ht="25.5" customHeight="1">
      <c r="A394" s="9" t="s">
        <v>786</v>
      </c>
      <c r="B394" s="107" t="s">
        <v>787</v>
      </c>
    </row>
    <row r="395" spans="1:2" s="8" customFormat="1" ht="25.5" customHeight="1">
      <c r="A395" s="9" t="s">
        <v>788</v>
      </c>
      <c r="B395" s="107" t="s">
        <v>789</v>
      </c>
    </row>
    <row r="396" spans="1:2" s="8" customFormat="1" ht="25.5" customHeight="1">
      <c r="A396" s="9" t="s">
        <v>790</v>
      </c>
      <c r="B396" s="107" t="s">
        <v>791</v>
      </c>
    </row>
    <row r="397" spans="1:2" s="8" customFormat="1" ht="25.5" customHeight="1">
      <c r="A397" s="9" t="s">
        <v>792</v>
      </c>
      <c r="B397" s="107" t="s">
        <v>793</v>
      </c>
    </row>
    <row r="398" spans="1:2" s="8" customFormat="1" ht="25.5" customHeight="1">
      <c r="A398" s="9" t="s">
        <v>794</v>
      </c>
      <c r="B398" s="107" t="s">
        <v>795</v>
      </c>
    </row>
    <row r="399" spans="1:2" s="8" customFormat="1" ht="25.5" customHeight="1">
      <c r="A399" s="9" t="s">
        <v>796</v>
      </c>
      <c r="B399" s="107" t="s">
        <v>797</v>
      </c>
    </row>
    <row r="400" spans="1:2" s="8" customFormat="1" ht="25.5" customHeight="1">
      <c r="A400" s="9" t="s">
        <v>798</v>
      </c>
      <c r="B400" s="107" t="s">
        <v>799</v>
      </c>
    </row>
    <row r="401" spans="1:2" s="8" customFormat="1" ht="25.5" customHeight="1">
      <c r="A401" s="9" t="s">
        <v>800</v>
      </c>
      <c r="B401" s="107" t="s">
        <v>801</v>
      </c>
    </row>
    <row r="402" spans="1:2" s="8" customFormat="1" ht="25.5" customHeight="1">
      <c r="A402" s="9" t="s">
        <v>802</v>
      </c>
      <c r="B402" s="107" t="s">
        <v>803</v>
      </c>
    </row>
    <row r="403" spans="1:2" s="8" customFormat="1" ht="25.5" customHeight="1">
      <c r="A403" s="9" t="s">
        <v>804</v>
      </c>
      <c r="B403" s="107" t="s">
        <v>805</v>
      </c>
    </row>
    <row r="404" spans="1:2" s="8" customFormat="1" ht="25.5" customHeight="1">
      <c r="A404" s="9" t="s">
        <v>806</v>
      </c>
      <c r="B404" s="107" t="s">
        <v>807</v>
      </c>
    </row>
    <row r="405" spans="1:2" s="8" customFormat="1" ht="25.5" customHeight="1">
      <c r="A405" s="9" t="s">
        <v>808</v>
      </c>
      <c r="B405" s="107" t="s">
        <v>809</v>
      </c>
    </row>
    <row r="406" spans="1:2" s="8" customFormat="1" ht="25.5" customHeight="1">
      <c r="A406" s="9" t="s">
        <v>810</v>
      </c>
      <c r="B406" s="107" t="s">
        <v>811</v>
      </c>
    </row>
    <row r="407" spans="1:2" s="8" customFormat="1" ht="25.5" customHeight="1">
      <c r="A407" s="9" t="s">
        <v>812</v>
      </c>
      <c r="B407" s="107" t="s">
        <v>813</v>
      </c>
    </row>
    <row r="408" spans="1:2" s="8" customFormat="1" ht="25.5" customHeight="1">
      <c r="A408" s="9" t="s">
        <v>814</v>
      </c>
      <c r="B408" s="107" t="s">
        <v>815</v>
      </c>
    </row>
    <row r="409" spans="1:2" s="8" customFormat="1" ht="25.5" customHeight="1">
      <c r="A409" s="9" t="s">
        <v>816</v>
      </c>
      <c r="B409" s="107" t="s">
        <v>817</v>
      </c>
    </row>
    <row r="410" spans="1:2" s="8" customFormat="1" ht="25.5" customHeight="1">
      <c r="A410" s="9" t="s">
        <v>818</v>
      </c>
      <c r="B410" s="107" t="s">
        <v>819</v>
      </c>
    </row>
    <row r="411" spans="1:2" s="8" customFormat="1" ht="25.5" customHeight="1">
      <c r="A411" s="9" t="s">
        <v>820</v>
      </c>
      <c r="B411" s="107" t="s">
        <v>821</v>
      </c>
    </row>
    <row r="412" spans="1:2" s="8" customFormat="1" ht="25.5" customHeight="1">
      <c r="A412" s="9" t="s">
        <v>822</v>
      </c>
      <c r="B412" s="107" t="s">
        <v>823</v>
      </c>
    </row>
    <row r="413" spans="1:2" s="8" customFormat="1" ht="25.5" customHeight="1">
      <c r="A413" s="9" t="s">
        <v>824</v>
      </c>
      <c r="B413" s="107" t="s">
        <v>825</v>
      </c>
    </row>
    <row r="414" spans="1:2" s="8" customFormat="1" ht="25.5" customHeight="1">
      <c r="A414" s="9" t="s">
        <v>826</v>
      </c>
      <c r="B414" s="107" t="s">
        <v>827</v>
      </c>
    </row>
    <row r="415" spans="1:2" s="8" customFormat="1" ht="25.5" customHeight="1">
      <c r="A415" s="9" t="s">
        <v>828</v>
      </c>
      <c r="B415" s="107" t="s">
        <v>829</v>
      </c>
    </row>
    <row r="416" spans="1:2" s="8" customFormat="1" ht="25.5" customHeight="1">
      <c r="A416" s="9" t="s">
        <v>830</v>
      </c>
      <c r="B416" s="107" t="s">
        <v>831</v>
      </c>
    </row>
    <row r="417" spans="1:2" s="8" customFormat="1" ht="25.5" customHeight="1">
      <c r="A417" s="9" t="s">
        <v>832</v>
      </c>
      <c r="B417" s="107" t="s">
        <v>833</v>
      </c>
    </row>
    <row r="418" spans="1:2" s="8" customFormat="1" ht="25.5" customHeight="1">
      <c r="A418" s="9" t="s">
        <v>834</v>
      </c>
      <c r="B418" s="107" t="s">
        <v>835</v>
      </c>
    </row>
    <row r="419" spans="1:2" s="8" customFormat="1" ht="25.5" customHeight="1">
      <c r="A419" s="9" t="s">
        <v>836</v>
      </c>
      <c r="B419" s="107" t="s">
        <v>837</v>
      </c>
    </row>
    <row r="420" spans="1:2" s="8" customFormat="1" ht="25.5" customHeight="1">
      <c r="A420" s="9" t="s">
        <v>838</v>
      </c>
      <c r="B420" s="107" t="s">
        <v>839</v>
      </c>
    </row>
    <row r="421" spans="1:2" s="8" customFormat="1" ht="25.5" customHeight="1">
      <c r="A421" s="9" t="s">
        <v>840</v>
      </c>
      <c r="B421" s="107" t="s">
        <v>841</v>
      </c>
    </row>
    <row r="422" spans="1:2" s="8" customFormat="1" ht="25.5" customHeight="1">
      <c r="A422" s="9" t="s">
        <v>842</v>
      </c>
      <c r="B422" s="107" t="s">
        <v>843</v>
      </c>
    </row>
    <row r="423" spans="1:2" s="8" customFormat="1" ht="25.5" customHeight="1">
      <c r="A423" s="9" t="s">
        <v>844</v>
      </c>
      <c r="B423" s="107" t="s">
        <v>845</v>
      </c>
    </row>
    <row r="424" spans="1:2" s="8" customFormat="1" ht="25.5" customHeight="1">
      <c r="A424" s="9" t="s">
        <v>846</v>
      </c>
      <c r="B424" s="107" t="s">
        <v>847</v>
      </c>
    </row>
    <row r="425" spans="1:2" s="8" customFormat="1" ht="25.5" customHeight="1">
      <c r="A425" s="9" t="s">
        <v>848</v>
      </c>
      <c r="B425" s="107" t="s">
        <v>849</v>
      </c>
    </row>
    <row r="426" spans="1:2" s="8" customFormat="1" ht="25.5" customHeight="1">
      <c r="A426" s="9" t="s">
        <v>850</v>
      </c>
      <c r="B426" s="107" t="s">
        <v>851</v>
      </c>
    </row>
    <row r="427" spans="1:2" s="8" customFormat="1" ht="25.5" customHeight="1">
      <c r="A427" s="9" t="s">
        <v>852</v>
      </c>
      <c r="B427" s="107" t="s">
        <v>853</v>
      </c>
    </row>
    <row r="428" spans="1:2" s="8" customFormat="1" ht="25.5" customHeight="1">
      <c r="A428" s="9" t="s">
        <v>854</v>
      </c>
      <c r="B428" s="107" t="s">
        <v>855</v>
      </c>
    </row>
    <row r="429" spans="1:2" s="8" customFormat="1" ht="25.5" customHeight="1">
      <c r="A429" s="9" t="s">
        <v>856</v>
      </c>
      <c r="B429" s="107" t="s">
        <v>857</v>
      </c>
    </row>
    <row r="430" spans="1:2" s="8" customFormat="1" ht="25.5" customHeight="1">
      <c r="A430" s="9" t="s">
        <v>858</v>
      </c>
      <c r="B430" s="107" t="s">
        <v>859</v>
      </c>
    </row>
    <row r="431" spans="1:2" s="8" customFormat="1" ht="25.5" customHeight="1">
      <c r="A431" s="9" t="s">
        <v>860</v>
      </c>
      <c r="B431" s="107" t="s">
        <v>861</v>
      </c>
    </row>
    <row r="432" spans="1:2" s="8" customFormat="1" ht="25.5" customHeight="1">
      <c r="A432" s="9" t="s">
        <v>862</v>
      </c>
      <c r="B432" s="107" t="s">
        <v>863</v>
      </c>
    </row>
    <row r="433" spans="1:2" s="8" customFormat="1" ht="25.5" customHeight="1">
      <c r="A433" s="9" t="s">
        <v>864</v>
      </c>
      <c r="B433" s="107" t="s">
        <v>865</v>
      </c>
    </row>
    <row r="434" spans="1:2" s="8" customFormat="1" ht="25.5" customHeight="1">
      <c r="A434" s="9" t="s">
        <v>866</v>
      </c>
      <c r="B434" s="107" t="s">
        <v>867</v>
      </c>
    </row>
    <row r="435" spans="1:2" s="8" customFormat="1" ht="25.5" customHeight="1">
      <c r="A435" s="9" t="s">
        <v>868</v>
      </c>
      <c r="B435" s="107" t="s">
        <v>869</v>
      </c>
    </row>
    <row r="436" spans="1:2" s="8" customFormat="1" ht="25.5" customHeight="1">
      <c r="A436" s="9" t="s">
        <v>870</v>
      </c>
      <c r="B436" s="107" t="s">
        <v>871</v>
      </c>
    </row>
    <row r="437" spans="1:2" s="8" customFormat="1" ht="25.5" customHeight="1">
      <c r="A437" s="9" t="s">
        <v>872</v>
      </c>
      <c r="B437" s="107" t="s">
        <v>873</v>
      </c>
    </row>
    <row r="438" spans="1:2" s="8" customFormat="1" ht="25.5" customHeight="1">
      <c r="A438" s="9" t="s">
        <v>874</v>
      </c>
      <c r="B438" s="107" t="s">
        <v>875</v>
      </c>
    </row>
    <row r="439" spans="1:2" s="8" customFormat="1" ht="25.5" customHeight="1">
      <c r="A439" s="9" t="s">
        <v>876</v>
      </c>
      <c r="B439" s="107" t="s">
        <v>877</v>
      </c>
    </row>
    <row r="440" spans="1:2" s="8" customFormat="1" ht="25.5" customHeight="1">
      <c r="A440" s="9" t="s">
        <v>878</v>
      </c>
      <c r="B440" s="107" t="s">
        <v>879</v>
      </c>
    </row>
    <row r="441" spans="1:2" s="8" customFormat="1" ht="25.5" customHeight="1">
      <c r="A441" s="9" t="s">
        <v>880</v>
      </c>
      <c r="B441" s="107" t="s">
        <v>881</v>
      </c>
    </row>
    <row r="442" spans="1:2" s="8" customFormat="1" ht="25.5" customHeight="1">
      <c r="A442" s="9" t="s">
        <v>882</v>
      </c>
      <c r="B442" s="107" t="s">
        <v>883</v>
      </c>
    </row>
    <row r="443" spans="1:2" s="8" customFormat="1" ht="25.5" customHeight="1">
      <c r="A443" s="9" t="s">
        <v>884</v>
      </c>
      <c r="B443" s="107" t="s">
        <v>885</v>
      </c>
    </row>
    <row r="444" spans="1:2" s="8" customFormat="1" ht="25.5" customHeight="1">
      <c r="A444" s="9" t="s">
        <v>886</v>
      </c>
      <c r="B444" s="107" t="s">
        <v>887</v>
      </c>
    </row>
    <row r="445" spans="1:2" s="8" customFormat="1" ht="25.5" customHeight="1">
      <c r="A445" s="9" t="s">
        <v>888</v>
      </c>
      <c r="B445" s="107" t="s">
        <v>889</v>
      </c>
    </row>
    <row r="446" spans="1:2" s="8" customFormat="1" ht="25.5" customHeight="1">
      <c r="A446" s="9" t="s">
        <v>890</v>
      </c>
      <c r="B446" s="107" t="s">
        <v>891</v>
      </c>
    </row>
    <row r="447" spans="1:2" s="8" customFormat="1" ht="25.5" customHeight="1">
      <c r="A447" s="9" t="s">
        <v>892</v>
      </c>
      <c r="B447" s="107" t="s">
        <v>893</v>
      </c>
    </row>
    <row r="448" spans="1:2" s="8" customFormat="1" ht="25.5" customHeight="1">
      <c r="A448" s="9" t="s">
        <v>894</v>
      </c>
      <c r="B448" s="107" t="s">
        <v>895</v>
      </c>
    </row>
    <row r="449" spans="1:2" s="8" customFormat="1" ht="25.5" customHeight="1">
      <c r="A449" s="9" t="s">
        <v>896</v>
      </c>
      <c r="B449" s="107" t="s">
        <v>897</v>
      </c>
    </row>
    <row r="450" spans="1:2" s="8" customFormat="1" ht="25.5" customHeight="1">
      <c r="A450" s="9" t="s">
        <v>898</v>
      </c>
      <c r="B450" s="107" t="s">
        <v>899</v>
      </c>
    </row>
    <row r="451" spans="1:2" s="8" customFormat="1" ht="25.5" customHeight="1">
      <c r="A451" s="9" t="s">
        <v>900</v>
      </c>
      <c r="B451" s="107" t="s">
        <v>901</v>
      </c>
    </row>
    <row r="452" spans="1:2" s="8" customFormat="1" ht="25.5" customHeight="1">
      <c r="A452" s="9" t="s">
        <v>902</v>
      </c>
      <c r="B452" s="107" t="s">
        <v>903</v>
      </c>
    </row>
    <row r="453" spans="1:2" s="8" customFormat="1" ht="25.5" customHeight="1">
      <c r="A453" s="9" t="s">
        <v>904</v>
      </c>
      <c r="B453" s="107" t="s">
        <v>905</v>
      </c>
    </row>
    <row r="454" spans="1:2" s="8" customFormat="1" ht="25.5" customHeight="1">
      <c r="A454" s="9" t="s">
        <v>906</v>
      </c>
      <c r="B454" s="107" t="s">
        <v>907</v>
      </c>
    </row>
    <row r="455" spans="1:2" s="8" customFormat="1" ht="25.5" customHeight="1">
      <c r="A455" s="9" t="s">
        <v>908</v>
      </c>
      <c r="B455" s="107" t="s">
        <v>909</v>
      </c>
    </row>
    <row r="456" spans="1:2" s="8" customFormat="1" ht="25.5" customHeight="1">
      <c r="A456" s="9" t="s">
        <v>910</v>
      </c>
      <c r="B456" s="107" t="s">
        <v>911</v>
      </c>
    </row>
    <row r="457" spans="1:2" s="8" customFormat="1" ht="25.5" customHeight="1">
      <c r="A457" s="9" t="s">
        <v>912</v>
      </c>
      <c r="B457" s="107" t="s">
        <v>913</v>
      </c>
    </row>
    <row r="458" spans="1:2" s="8" customFormat="1" ht="25.5" customHeight="1">
      <c r="A458" s="9" t="s">
        <v>914</v>
      </c>
      <c r="B458" s="107" t="s">
        <v>915</v>
      </c>
    </row>
    <row r="459" spans="1:2" s="8" customFormat="1" ht="25.5" customHeight="1">
      <c r="A459" s="9" t="s">
        <v>916</v>
      </c>
      <c r="B459" s="107" t="s">
        <v>917</v>
      </c>
    </row>
    <row r="460" spans="1:2" s="8" customFormat="1" ht="25.5" customHeight="1">
      <c r="A460" s="9" t="s">
        <v>918</v>
      </c>
      <c r="B460" s="107" t="s">
        <v>919</v>
      </c>
    </row>
    <row r="461" spans="1:2" s="8" customFormat="1" ht="25.5" customHeight="1">
      <c r="A461" s="9" t="s">
        <v>920</v>
      </c>
      <c r="B461" s="107" t="s">
        <v>921</v>
      </c>
    </row>
    <row r="462" spans="1:2" s="8" customFormat="1" ht="25.5" customHeight="1">
      <c r="A462" s="9" t="s">
        <v>922</v>
      </c>
      <c r="B462" s="107" t="s">
        <v>923</v>
      </c>
    </row>
    <row r="463" spans="1:2" s="8" customFormat="1" ht="25.5" customHeight="1">
      <c r="A463" s="9" t="s">
        <v>924</v>
      </c>
      <c r="B463" s="107" t="s">
        <v>925</v>
      </c>
    </row>
    <row r="464" spans="1:2" s="8" customFormat="1" ht="25.5" customHeight="1">
      <c r="A464" s="9" t="s">
        <v>926</v>
      </c>
      <c r="B464" s="107" t="s">
        <v>927</v>
      </c>
    </row>
    <row r="465" spans="1:2" s="8" customFormat="1" ht="25.5" customHeight="1">
      <c r="A465" s="9" t="s">
        <v>928</v>
      </c>
      <c r="B465" s="107" t="s">
        <v>929</v>
      </c>
    </row>
    <row r="466" spans="1:2" s="8" customFormat="1" ht="25.5" customHeight="1">
      <c r="A466" s="9" t="s">
        <v>930</v>
      </c>
      <c r="B466" s="107" t="s">
        <v>931</v>
      </c>
    </row>
    <row r="467" spans="1:2" s="8" customFormat="1" ht="25.5" customHeight="1">
      <c r="A467" s="9" t="s">
        <v>932</v>
      </c>
      <c r="B467" s="107" t="s">
        <v>933</v>
      </c>
    </row>
    <row r="468" spans="1:2" s="8" customFormat="1" ht="25.5" customHeight="1">
      <c r="A468" s="9" t="s">
        <v>934</v>
      </c>
      <c r="B468" s="107" t="s">
        <v>935</v>
      </c>
    </row>
    <row r="469" spans="1:2" s="8" customFormat="1" ht="25.5" customHeight="1">
      <c r="A469" s="9" t="s">
        <v>936</v>
      </c>
      <c r="B469" s="107" t="s">
        <v>937</v>
      </c>
    </row>
    <row r="470" spans="1:2" s="8" customFormat="1" ht="25.5" customHeight="1">
      <c r="A470" s="9" t="s">
        <v>938</v>
      </c>
      <c r="B470" s="107" t="s">
        <v>939</v>
      </c>
    </row>
    <row r="471" spans="1:2" s="8" customFormat="1" ht="25.5" customHeight="1">
      <c r="A471" s="9" t="s">
        <v>940</v>
      </c>
      <c r="B471" s="107" t="s">
        <v>941</v>
      </c>
    </row>
    <row r="472" spans="1:2" s="8" customFormat="1" ht="25.5" customHeight="1">
      <c r="A472" s="9" t="s">
        <v>942</v>
      </c>
      <c r="B472" s="107" t="s">
        <v>943</v>
      </c>
    </row>
    <row r="473" spans="1:2" s="8" customFormat="1" ht="25.5" customHeight="1">
      <c r="A473" s="9" t="s">
        <v>944</v>
      </c>
      <c r="B473" s="107" t="s">
        <v>945</v>
      </c>
    </row>
    <row r="474" spans="1:2" s="8" customFormat="1" ht="25.5" customHeight="1">
      <c r="A474" s="9" t="s">
        <v>946</v>
      </c>
      <c r="B474" s="107" t="s">
        <v>947</v>
      </c>
    </row>
    <row r="475" spans="1:2" s="8" customFormat="1" ht="25.5" customHeight="1">
      <c r="A475" s="9" t="s">
        <v>948</v>
      </c>
      <c r="B475" s="107" t="s">
        <v>949</v>
      </c>
    </row>
    <row r="476" spans="1:2" s="8" customFormat="1" ht="25.5" customHeight="1">
      <c r="A476" s="9" t="s">
        <v>950</v>
      </c>
      <c r="B476" s="107" t="s">
        <v>951</v>
      </c>
    </row>
    <row r="477" spans="1:2" s="8" customFormat="1" ht="25.5" customHeight="1">
      <c r="A477" s="9" t="s">
        <v>952</v>
      </c>
      <c r="B477" s="107" t="s">
        <v>953</v>
      </c>
    </row>
    <row r="478" spans="1:2" s="8" customFormat="1" ht="25.5" customHeight="1">
      <c r="A478" s="9" t="s">
        <v>954</v>
      </c>
      <c r="B478" s="107" t="s">
        <v>955</v>
      </c>
    </row>
    <row r="479" spans="1:2" s="8" customFormat="1" ht="25.5" customHeight="1">
      <c r="A479" s="9" t="s">
        <v>956</v>
      </c>
      <c r="B479" s="107" t="s">
        <v>957</v>
      </c>
    </row>
    <row r="480" spans="1:2" s="8" customFormat="1" ht="25.5" customHeight="1">
      <c r="A480" s="9" t="s">
        <v>958</v>
      </c>
      <c r="B480" s="107" t="s">
        <v>959</v>
      </c>
    </row>
    <row r="481" spans="1:2" s="8" customFormat="1" ht="25.5" customHeight="1">
      <c r="A481" s="9" t="s">
        <v>960</v>
      </c>
      <c r="B481" s="107" t="s">
        <v>961</v>
      </c>
    </row>
    <row r="482" spans="1:2" s="8" customFormat="1" ht="25.5" customHeight="1">
      <c r="A482" s="9" t="s">
        <v>962</v>
      </c>
      <c r="B482" s="107" t="s">
        <v>963</v>
      </c>
    </row>
    <row r="483" spans="1:2" s="8" customFormat="1" ht="25.5" customHeight="1">
      <c r="A483" s="9" t="s">
        <v>964</v>
      </c>
      <c r="B483" s="107" t="s">
        <v>965</v>
      </c>
    </row>
    <row r="484" spans="1:2" s="8" customFormat="1" ht="25.5" customHeight="1">
      <c r="A484" s="9" t="s">
        <v>966</v>
      </c>
      <c r="B484" s="107" t="s">
        <v>967</v>
      </c>
    </row>
    <row r="485" spans="1:2" s="8" customFormat="1" ht="25.5" customHeight="1">
      <c r="A485" s="9" t="s">
        <v>968</v>
      </c>
      <c r="B485" s="107" t="s">
        <v>969</v>
      </c>
    </row>
    <row r="486" spans="1:2" s="8" customFormat="1" ht="25.5" customHeight="1">
      <c r="A486" s="9" t="s">
        <v>970</v>
      </c>
      <c r="B486" s="107" t="s">
        <v>971</v>
      </c>
    </row>
    <row r="487" spans="1:2" s="8" customFormat="1" ht="25.5" customHeight="1">
      <c r="A487" s="9" t="s">
        <v>972</v>
      </c>
      <c r="B487" s="107" t="s">
        <v>973</v>
      </c>
    </row>
    <row r="488" spans="1:2" s="8" customFormat="1" ht="25.5" customHeight="1">
      <c r="A488" s="9" t="s">
        <v>974</v>
      </c>
      <c r="B488" s="107" t="s">
        <v>975</v>
      </c>
    </row>
    <row r="489" spans="1:2" s="8" customFormat="1" ht="25.5" customHeight="1">
      <c r="A489" s="9" t="s">
        <v>976</v>
      </c>
      <c r="B489" s="107" t="s">
        <v>977</v>
      </c>
    </row>
    <row r="490" spans="1:2" s="8" customFormat="1" ht="25.5" customHeight="1">
      <c r="A490" s="9" t="s">
        <v>978</v>
      </c>
      <c r="B490" s="107" t="s">
        <v>979</v>
      </c>
    </row>
    <row r="491" spans="1:2" s="8" customFormat="1" ht="25.5" customHeight="1">
      <c r="A491" s="9" t="s">
        <v>980</v>
      </c>
      <c r="B491" s="107" t="s">
        <v>981</v>
      </c>
    </row>
    <row r="492" spans="1:2" s="8" customFormat="1" ht="25.5" customHeight="1">
      <c r="A492" s="9" t="s">
        <v>982</v>
      </c>
      <c r="B492" s="107" t="s">
        <v>983</v>
      </c>
    </row>
    <row r="493" spans="1:2" s="8" customFormat="1" ht="25.5" customHeight="1">
      <c r="A493" s="9" t="s">
        <v>984</v>
      </c>
      <c r="B493" s="107" t="s">
        <v>985</v>
      </c>
    </row>
    <row r="494" spans="1:2" s="8" customFormat="1" ht="25.5" customHeight="1">
      <c r="A494" s="9" t="s">
        <v>986</v>
      </c>
      <c r="B494" s="107" t="s">
        <v>987</v>
      </c>
    </row>
    <row r="495" spans="1:2" s="8" customFormat="1" ht="25.5" customHeight="1">
      <c r="A495" s="9" t="s">
        <v>988</v>
      </c>
      <c r="B495" s="107" t="s">
        <v>989</v>
      </c>
    </row>
    <row r="496" spans="1:2" s="8" customFormat="1" ht="25.5" customHeight="1">
      <c r="A496" s="9" t="s">
        <v>990</v>
      </c>
      <c r="B496" s="107" t="s">
        <v>991</v>
      </c>
    </row>
    <row r="497" spans="1:2" s="8" customFormat="1" ht="25.5" customHeight="1">
      <c r="A497" s="9" t="s">
        <v>992</v>
      </c>
      <c r="B497" s="107" t="s">
        <v>993</v>
      </c>
    </row>
    <row r="498" spans="1:2" s="8" customFormat="1" ht="25.5" customHeight="1">
      <c r="A498" s="9" t="s">
        <v>994</v>
      </c>
      <c r="B498" s="107" t="s">
        <v>995</v>
      </c>
    </row>
    <row r="499" spans="1:2" s="8" customFormat="1" ht="25.5" customHeight="1">
      <c r="A499" s="9" t="s">
        <v>996</v>
      </c>
      <c r="B499" s="107" t="s">
        <v>997</v>
      </c>
    </row>
    <row r="500" spans="1:2" s="8" customFormat="1" ht="25.5" customHeight="1">
      <c r="A500" s="9" t="s">
        <v>998</v>
      </c>
      <c r="B500" s="107" t="s">
        <v>999</v>
      </c>
    </row>
    <row r="501" spans="1:2" s="8" customFormat="1" ht="25.5" customHeight="1">
      <c r="A501" s="9" t="s">
        <v>1000</v>
      </c>
      <c r="B501" s="107" t="s">
        <v>1001</v>
      </c>
    </row>
    <row r="502" spans="1:2" s="8" customFormat="1" ht="25.5" customHeight="1">
      <c r="A502" s="9" t="s">
        <v>1002</v>
      </c>
      <c r="B502" s="107" t="s">
        <v>1003</v>
      </c>
    </row>
    <row r="503" spans="1:2" s="8" customFormat="1" ht="25.5" customHeight="1">
      <c r="A503" s="9" t="s">
        <v>1004</v>
      </c>
      <c r="B503" s="107" t="s">
        <v>1005</v>
      </c>
    </row>
    <row r="504" spans="1:2" s="8" customFormat="1" ht="25.5" customHeight="1">
      <c r="A504" s="9" t="s">
        <v>1006</v>
      </c>
      <c r="B504" s="107" t="s">
        <v>1007</v>
      </c>
    </row>
    <row r="505" spans="1:2" s="8" customFormat="1" ht="25.5" customHeight="1">
      <c r="A505" s="9" t="s">
        <v>1008</v>
      </c>
      <c r="B505" s="107" t="s">
        <v>1009</v>
      </c>
    </row>
    <row r="506" spans="1:2" s="8" customFormat="1" ht="25.5" customHeight="1">
      <c r="A506" s="9" t="s">
        <v>1010</v>
      </c>
      <c r="B506" s="107" t="s">
        <v>1011</v>
      </c>
    </row>
    <row r="507" spans="1:2" s="8" customFormat="1" ht="25.5" customHeight="1">
      <c r="A507" s="9" t="s">
        <v>1012</v>
      </c>
      <c r="B507" s="107" t="s">
        <v>1013</v>
      </c>
    </row>
    <row r="508" spans="1:2" s="8" customFormat="1" ht="25.5" customHeight="1">
      <c r="A508" s="9" t="s">
        <v>1014</v>
      </c>
      <c r="B508" s="107" t="s">
        <v>1015</v>
      </c>
    </row>
    <row r="509" spans="1:2" s="8" customFormat="1" ht="25.5" customHeight="1">
      <c r="A509" s="9" t="s">
        <v>1016</v>
      </c>
      <c r="B509" s="107" t="s">
        <v>1017</v>
      </c>
    </row>
    <row r="510" spans="1:2" s="8" customFormat="1" ht="25.5" customHeight="1">
      <c r="A510" s="9" t="s">
        <v>1018</v>
      </c>
      <c r="B510" s="107" t="s">
        <v>1019</v>
      </c>
    </row>
    <row r="511" spans="1:2" s="8" customFormat="1" ht="25.5" customHeight="1">
      <c r="A511" s="9" t="s">
        <v>1020</v>
      </c>
      <c r="B511" s="107" t="s">
        <v>1021</v>
      </c>
    </row>
    <row r="512" spans="1:2" s="8" customFormat="1" ht="25.5" customHeight="1">
      <c r="A512" s="9" t="s">
        <v>1022</v>
      </c>
      <c r="B512" s="107" t="s">
        <v>1023</v>
      </c>
    </row>
    <row r="513" spans="1:2" s="8" customFormat="1" ht="25.5" customHeight="1">
      <c r="A513" s="9" t="s">
        <v>1024</v>
      </c>
      <c r="B513" s="107" t="s">
        <v>1025</v>
      </c>
    </row>
    <row r="514" spans="1:2" s="8" customFormat="1" ht="25.5" customHeight="1">
      <c r="A514" s="9" t="s">
        <v>1026</v>
      </c>
      <c r="B514" s="107" t="s">
        <v>1027</v>
      </c>
    </row>
    <row r="515" spans="1:2" s="8" customFormat="1" ht="25.5" customHeight="1">
      <c r="A515" s="9" t="s">
        <v>1028</v>
      </c>
      <c r="B515" s="107" t="s">
        <v>1029</v>
      </c>
    </row>
    <row r="516" spans="1:2" s="8" customFormat="1" ht="25.5" customHeight="1">
      <c r="A516" s="9" t="s">
        <v>1030</v>
      </c>
      <c r="B516" s="107" t="s">
        <v>1031</v>
      </c>
    </row>
    <row r="517" spans="1:2" s="8" customFormat="1" ht="25.5" customHeight="1">
      <c r="A517" s="9" t="s">
        <v>1032</v>
      </c>
      <c r="B517" s="107" t="s">
        <v>1033</v>
      </c>
    </row>
    <row r="518" spans="1:2" s="8" customFormat="1" ht="25.5" customHeight="1">
      <c r="A518" s="9" t="s">
        <v>1034</v>
      </c>
      <c r="B518" s="107" t="s">
        <v>1035</v>
      </c>
    </row>
    <row r="519" spans="1:2" s="8" customFormat="1" ht="25.5" customHeight="1">
      <c r="A519" s="9" t="s">
        <v>1036</v>
      </c>
      <c r="B519" s="107" t="s">
        <v>1037</v>
      </c>
    </row>
    <row r="520" spans="1:2" s="8" customFormat="1" ht="25.5" customHeight="1">
      <c r="A520" s="9" t="s">
        <v>1038</v>
      </c>
      <c r="B520" s="107" t="s">
        <v>1039</v>
      </c>
    </row>
    <row r="521" spans="1:2" s="8" customFormat="1" ht="25.5" customHeight="1">
      <c r="A521" s="9" t="s">
        <v>1040</v>
      </c>
      <c r="B521" s="107" t="s">
        <v>1041</v>
      </c>
    </row>
    <row r="522" spans="1:2" s="8" customFormat="1" ht="25.5" customHeight="1">
      <c r="A522" s="9" t="s">
        <v>1042</v>
      </c>
      <c r="B522" s="107" t="s">
        <v>1043</v>
      </c>
    </row>
    <row r="523" spans="1:2" s="8" customFormat="1" ht="25.5" customHeight="1">
      <c r="A523" s="9" t="s">
        <v>1044</v>
      </c>
      <c r="B523" s="107" t="s">
        <v>1045</v>
      </c>
    </row>
    <row r="524" spans="1:2" s="8" customFormat="1" ht="25.5" customHeight="1">
      <c r="A524" s="9" t="s">
        <v>1046</v>
      </c>
      <c r="B524" s="107" t="s">
        <v>1047</v>
      </c>
    </row>
    <row r="525" spans="1:2" s="8" customFormat="1" ht="25.5" customHeight="1">
      <c r="A525" s="9" t="s">
        <v>1048</v>
      </c>
      <c r="B525" s="107" t="s">
        <v>1049</v>
      </c>
    </row>
    <row r="526" spans="1:2" s="8" customFormat="1" ht="25.5" customHeight="1">
      <c r="A526" s="9" t="s">
        <v>1050</v>
      </c>
      <c r="B526" s="107" t="s">
        <v>1051</v>
      </c>
    </row>
    <row r="527" spans="1:2" s="8" customFormat="1" ht="25.5" customHeight="1">
      <c r="A527" s="9" t="s">
        <v>1052</v>
      </c>
      <c r="B527" s="107" t="s">
        <v>1053</v>
      </c>
    </row>
    <row r="528" spans="1:2" s="8" customFormat="1" ht="25.5" customHeight="1">
      <c r="A528" s="9" t="s">
        <v>1054</v>
      </c>
      <c r="B528" s="107" t="s">
        <v>1055</v>
      </c>
    </row>
    <row r="529" spans="1:2" s="8" customFormat="1" ht="25.5" customHeight="1">
      <c r="A529" s="9" t="s">
        <v>1056</v>
      </c>
      <c r="B529" s="107" t="s">
        <v>1057</v>
      </c>
    </row>
    <row r="530" spans="1:2" s="8" customFormat="1" ht="25.5" customHeight="1">
      <c r="A530" s="9" t="s">
        <v>1058</v>
      </c>
      <c r="B530" s="107" t="s">
        <v>1059</v>
      </c>
    </row>
    <row r="531" spans="1:2" s="8" customFormat="1" ht="25.5" customHeight="1">
      <c r="A531" s="9" t="s">
        <v>1060</v>
      </c>
      <c r="B531" s="107" t="s">
        <v>1061</v>
      </c>
    </row>
    <row r="532" spans="1:2" s="8" customFormat="1" ht="25.5" customHeight="1">
      <c r="A532" s="9" t="s">
        <v>1062</v>
      </c>
      <c r="B532" s="107" t="s">
        <v>1063</v>
      </c>
    </row>
    <row r="533" spans="1:2" s="8" customFormat="1" ht="25.5" customHeight="1">
      <c r="A533" s="9" t="s">
        <v>1064</v>
      </c>
      <c r="B533" s="107" t="s">
        <v>1065</v>
      </c>
    </row>
    <row r="534" spans="1:2" s="8" customFormat="1" ht="25.5" customHeight="1">
      <c r="A534" s="9" t="s">
        <v>1066</v>
      </c>
      <c r="B534" s="107" t="s">
        <v>747</v>
      </c>
    </row>
    <row r="535" spans="1:2" s="8" customFormat="1" ht="25.5" customHeight="1">
      <c r="A535" s="9" t="s">
        <v>1067</v>
      </c>
      <c r="B535" s="107" t="s">
        <v>1068</v>
      </c>
    </row>
    <row r="536" spans="1:2" s="8" customFormat="1" ht="25.5" customHeight="1">
      <c r="A536" s="9" t="s">
        <v>1069</v>
      </c>
      <c r="B536" s="107" t="s">
        <v>1070</v>
      </c>
    </row>
    <row r="537" spans="1:2" s="8" customFormat="1" ht="25.5" customHeight="1">
      <c r="A537" s="9" t="s">
        <v>1071</v>
      </c>
      <c r="B537" s="107" t="s">
        <v>1072</v>
      </c>
    </row>
    <row r="538" spans="1:2" s="8" customFormat="1" ht="25.5" customHeight="1">
      <c r="A538" s="9" t="s">
        <v>1073</v>
      </c>
      <c r="B538" s="107" t="s">
        <v>1074</v>
      </c>
    </row>
    <row r="539" spans="1:2" s="8" customFormat="1" ht="25.5" customHeight="1">
      <c r="A539" s="9" t="s">
        <v>1075</v>
      </c>
      <c r="B539" s="107" t="s">
        <v>1076</v>
      </c>
    </row>
    <row r="540" spans="1:2" s="8" customFormat="1" ht="25.5" customHeight="1">
      <c r="A540" s="9" t="s">
        <v>1077</v>
      </c>
      <c r="B540" s="107" t="s">
        <v>1078</v>
      </c>
    </row>
    <row r="541" spans="1:2" s="8" customFormat="1" ht="25.5" customHeight="1">
      <c r="A541" s="9" t="s">
        <v>1079</v>
      </c>
      <c r="B541" s="107" t="s">
        <v>1080</v>
      </c>
    </row>
    <row r="542" spans="1:2" s="8" customFormat="1" ht="25.5" customHeight="1">
      <c r="A542" s="9" t="s">
        <v>1081</v>
      </c>
      <c r="B542" s="107" t="s">
        <v>1082</v>
      </c>
    </row>
    <row r="543" spans="1:2" s="8" customFormat="1" ht="25.5" customHeight="1">
      <c r="A543" s="9" t="s">
        <v>1083</v>
      </c>
      <c r="B543" s="107" t="s">
        <v>1084</v>
      </c>
    </row>
    <row r="544" spans="1:2" s="8" customFormat="1" ht="25.5" customHeight="1">
      <c r="A544" s="9" t="s">
        <v>1085</v>
      </c>
      <c r="B544" s="107" t="s">
        <v>1086</v>
      </c>
    </row>
    <row r="545" spans="1:2" s="8" customFormat="1" ht="25.5" customHeight="1">
      <c r="A545" s="9" t="s">
        <v>1087</v>
      </c>
      <c r="B545" s="107" t="s">
        <v>1088</v>
      </c>
    </row>
    <row r="546" spans="1:2" s="8" customFormat="1" ht="25.5" customHeight="1">
      <c r="A546" s="9" t="s">
        <v>1089</v>
      </c>
      <c r="B546" s="107" t="s">
        <v>1090</v>
      </c>
    </row>
    <row r="547" spans="1:2" s="8" customFormat="1" ht="25.5" customHeight="1">
      <c r="A547" s="9" t="s">
        <v>1091</v>
      </c>
      <c r="B547" s="107" t="s">
        <v>1092</v>
      </c>
    </row>
    <row r="548" spans="1:2" s="8" customFormat="1" ht="25.5" customHeight="1">
      <c r="A548" s="9" t="s">
        <v>1093</v>
      </c>
      <c r="B548" s="107" t="s">
        <v>1094</v>
      </c>
    </row>
    <row r="549" spans="1:2" s="8" customFormat="1" ht="25.5" customHeight="1">
      <c r="A549" s="9" t="s">
        <v>1095</v>
      </c>
      <c r="B549" s="107" t="s">
        <v>1096</v>
      </c>
    </row>
    <row r="550" spans="1:2" s="8" customFormat="1" ht="25.5" customHeight="1">
      <c r="A550" s="9" t="s">
        <v>1097</v>
      </c>
      <c r="B550" s="107" t="s">
        <v>1098</v>
      </c>
    </row>
    <row r="551" spans="1:2" s="8" customFormat="1" ht="25.5" customHeight="1">
      <c r="A551" s="9" t="s">
        <v>1099</v>
      </c>
      <c r="B551" s="107" t="s">
        <v>1100</v>
      </c>
    </row>
    <row r="552" spans="1:2" s="8" customFormat="1" ht="25.5" customHeight="1">
      <c r="A552" s="9" t="s">
        <v>1101</v>
      </c>
      <c r="B552" s="107" t="s">
        <v>1102</v>
      </c>
    </row>
    <row r="553" spans="1:2" s="8" customFormat="1" ht="25.5" customHeight="1">
      <c r="A553" s="9" t="s">
        <v>1103</v>
      </c>
      <c r="B553" s="107" t="s">
        <v>1104</v>
      </c>
    </row>
    <row r="554" spans="1:2" s="8" customFormat="1" ht="25.5" customHeight="1">
      <c r="A554" s="9" t="s">
        <v>1105</v>
      </c>
      <c r="B554" s="107" t="s">
        <v>1106</v>
      </c>
    </row>
    <row r="555" spans="1:2" s="8" customFormat="1" ht="25.5" customHeight="1">
      <c r="A555" s="9" t="s">
        <v>1107</v>
      </c>
      <c r="B555" s="107" t="s">
        <v>1108</v>
      </c>
    </row>
    <row r="556" spans="1:2" s="8" customFormat="1" ht="25.5" customHeight="1">
      <c r="A556" s="9" t="s">
        <v>1109</v>
      </c>
      <c r="B556" s="107" t="s">
        <v>1110</v>
      </c>
    </row>
    <row r="557" spans="1:2" s="8" customFormat="1" ht="25.5" customHeight="1">
      <c r="A557" s="9" t="s">
        <v>1111</v>
      </c>
      <c r="B557" s="107" t="s">
        <v>1112</v>
      </c>
    </row>
    <row r="558" spans="1:2" s="8" customFormat="1" ht="25.5" customHeight="1">
      <c r="A558" s="9" t="s">
        <v>1113</v>
      </c>
      <c r="B558" s="107" t="s">
        <v>1114</v>
      </c>
    </row>
    <row r="559" spans="1:2" s="8" customFormat="1" ht="25.5" customHeight="1">
      <c r="A559" s="9" t="s">
        <v>1115</v>
      </c>
      <c r="B559" s="107" t="s">
        <v>1116</v>
      </c>
    </row>
    <row r="560" spans="1:2" s="8" customFormat="1" ht="25.5" customHeight="1">
      <c r="A560" s="9" t="s">
        <v>1117</v>
      </c>
      <c r="B560" s="107" t="s">
        <v>1118</v>
      </c>
    </row>
    <row r="561" spans="1:2" s="8" customFormat="1" ht="25.5" customHeight="1">
      <c r="A561" s="9" t="s">
        <v>1119</v>
      </c>
      <c r="B561" s="107" t="s">
        <v>1120</v>
      </c>
    </row>
    <row r="562" spans="1:2" s="8" customFormat="1" ht="25.5" customHeight="1">
      <c r="A562" s="9" t="s">
        <v>1121</v>
      </c>
      <c r="B562" s="107" t="s">
        <v>1122</v>
      </c>
    </row>
    <row r="563" spans="1:2" s="8" customFormat="1" ht="25.5" customHeight="1">
      <c r="A563" s="9" t="s">
        <v>1123</v>
      </c>
      <c r="B563" s="107" t="s">
        <v>1124</v>
      </c>
    </row>
    <row r="564" spans="1:2" s="8" customFormat="1" ht="25.5" customHeight="1">
      <c r="A564" s="9" t="s">
        <v>1125</v>
      </c>
      <c r="B564" s="107" t="s">
        <v>1126</v>
      </c>
    </row>
    <row r="565" spans="1:2" s="8" customFormat="1" ht="25.5" customHeight="1">
      <c r="A565" s="9" t="s">
        <v>1127</v>
      </c>
      <c r="B565" s="107" t="s">
        <v>1128</v>
      </c>
    </row>
    <row r="566" spans="1:2" s="8" customFormat="1" ht="25.5" customHeight="1">
      <c r="A566" s="9" t="s">
        <v>1129</v>
      </c>
      <c r="B566" s="107" t="s">
        <v>1130</v>
      </c>
    </row>
    <row r="567" spans="1:2" s="8" customFormat="1" ht="25.5" customHeight="1">
      <c r="A567" s="9" t="s">
        <v>1131</v>
      </c>
      <c r="B567" s="107" t="s">
        <v>1132</v>
      </c>
    </row>
    <row r="568" spans="1:2" s="8" customFormat="1" ht="25.5" customHeight="1">
      <c r="A568" s="9" t="s">
        <v>1133</v>
      </c>
      <c r="B568" s="107" t="s">
        <v>1134</v>
      </c>
    </row>
    <row r="569" spans="1:2" s="8" customFormat="1" ht="25.5" customHeight="1">
      <c r="A569" s="9" t="s">
        <v>1135</v>
      </c>
      <c r="B569" s="107" t="s">
        <v>1136</v>
      </c>
    </row>
    <row r="570" spans="1:2" s="8" customFormat="1" ht="25.5" customHeight="1">
      <c r="A570" s="9" t="s">
        <v>1137</v>
      </c>
      <c r="B570" s="107" t="s">
        <v>1138</v>
      </c>
    </row>
    <row r="571" spans="1:2" s="8" customFormat="1" ht="25.5" customHeight="1">
      <c r="A571" s="9" t="s">
        <v>1139</v>
      </c>
      <c r="B571" s="107" t="s">
        <v>1140</v>
      </c>
    </row>
    <row r="572" spans="1:2" s="8" customFormat="1" ht="25.5" customHeight="1">
      <c r="A572" s="9" t="s">
        <v>1141</v>
      </c>
      <c r="B572" s="107" t="s">
        <v>1142</v>
      </c>
    </row>
    <row r="573" spans="1:2" s="8" customFormat="1" ht="25.5" customHeight="1">
      <c r="A573" s="9" t="s">
        <v>1143</v>
      </c>
      <c r="B573" s="107" t="s">
        <v>1144</v>
      </c>
    </row>
    <row r="574" spans="1:2" s="8" customFormat="1" ht="25.5" customHeight="1">
      <c r="A574" s="9" t="s">
        <v>1145</v>
      </c>
      <c r="B574" s="107" t="s">
        <v>1146</v>
      </c>
    </row>
    <row r="575" spans="1:2" s="8" customFormat="1" ht="25.5" customHeight="1">
      <c r="A575" s="9" t="s">
        <v>1147</v>
      </c>
      <c r="B575" s="107" t="s">
        <v>1148</v>
      </c>
    </row>
    <row r="576" spans="1:2" s="8" customFormat="1" ht="25.5" customHeight="1">
      <c r="A576" s="9" t="s">
        <v>1149</v>
      </c>
      <c r="B576" s="107" t="s">
        <v>1150</v>
      </c>
    </row>
    <row r="577" spans="1:2" s="8" customFormat="1" ht="25.5" customHeight="1">
      <c r="A577" s="9" t="s">
        <v>1151</v>
      </c>
      <c r="B577" s="107" t="s">
        <v>1152</v>
      </c>
    </row>
    <row r="578" spans="1:2" s="8" customFormat="1" ht="25.5" customHeight="1">
      <c r="A578" s="9" t="s">
        <v>1153</v>
      </c>
      <c r="B578" s="107" t="s">
        <v>1154</v>
      </c>
    </row>
    <row r="579" spans="1:2" s="8" customFormat="1" ht="25.5" customHeight="1">
      <c r="A579" s="9" t="s">
        <v>1155</v>
      </c>
      <c r="B579" s="107" t="s">
        <v>1156</v>
      </c>
    </row>
    <row r="580" spans="1:2" s="8" customFormat="1" ht="25.5" customHeight="1">
      <c r="A580" s="9" t="s">
        <v>1157</v>
      </c>
      <c r="B580" s="107" t="s">
        <v>1158</v>
      </c>
    </row>
    <row r="581" spans="1:2" s="8" customFormat="1" ht="25.5" customHeight="1">
      <c r="A581" s="9" t="s">
        <v>1159</v>
      </c>
      <c r="B581" s="107" t="s">
        <v>1160</v>
      </c>
    </row>
    <row r="582" spans="1:2" s="8" customFormat="1" ht="25.5" customHeight="1">
      <c r="A582" s="9" t="s">
        <v>1161</v>
      </c>
      <c r="B582" s="107" t="s">
        <v>1162</v>
      </c>
    </row>
    <row r="583" spans="1:2" s="8" customFormat="1" ht="25.5" customHeight="1">
      <c r="A583" s="9" t="s">
        <v>1163</v>
      </c>
      <c r="B583" s="107" t="s">
        <v>1164</v>
      </c>
    </row>
    <row r="584" spans="1:2" s="8" customFormat="1" ht="25.5" customHeight="1">
      <c r="A584" s="9" t="s">
        <v>1165</v>
      </c>
      <c r="B584" s="107" t="s">
        <v>1166</v>
      </c>
    </row>
    <row r="585" spans="1:2" s="8" customFormat="1" ht="25.5" customHeight="1">
      <c r="A585" s="9" t="s">
        <v>1167</v>
      </c>
      <c r="B585" s="107" t="s">
        <v>1168</v>
      </c>
    </row>
    <row r="586" spans="1:2" s="8" customFormat="1" ht="25.5" customHeight="1">
      <c r="A586" s="9" t="s">
        <v>1169</v>
      </c>
      <c r="B586" s="107" t="s">
        <v>1170</v>
      </c>
    </row>
    <row r="587" spans="1:2" s="8" customFormat="1" ht="25.5" customHeight="1">
      <c r="A587" s="9" t="s">
        <v>1171</v>
      </c>
      <c r="B587" s="107" t="s">
        <v>1172</v>
      </c>
    </row>
    <row r="588" spans="1:2" s="8" customFormat="1" ht="25.5" customHeight="1">
      <c r="A588" s="9" t="s">
        <v>1173</v>
      </c>
      <c r="B588" s="107" t="s">
        <v>1174</v>
      </c>
    </row>
    <row r="589" spans="1:2" s="8" customFormat="1" ht="25.5" customHeight="1">
      <c r="A589" s="9" t="s">
        <v>1175</v>
      </c>
      <c r="B589" s="107" t="s">
        <v>1176</v>
      </c>
    </row>
    <row r="590" spans="1:2" s="8" customFormat="1" ht="25.5" customHeight="1">
      <c r="A590" s="9" t="s">
        <v>1177</v>
      </c>
      <c r="B590" s="107" t="s">
        <v>1178</v>
      </c>
    </row>
    <row r="591" spans="1:2" s="8" customFormat="1" ht="25.5" customHeight="1">
      <c r="A591" s="9" t="s">
        <v>1179</v>
      </c>
      <c r="B591" s="107" t="s">
        <v>1180</v>
      </c>
    </row>
    <row r="592" spans="1:2" s="8" customFormat="1" ht="25.5" customHeight="1">
      <c r="A592" s="9" t="s">
        <v>1181</v>
      </c>
      <c r="B592" s="107" t="s">
        <v>1182</v>
      </c>
    </row>
    <row r="593" spans="1:2" s="8" customFormat="1" ht="25.5" customHeight="1">
      <c r="A593" s="9" t="s">
        <v>1183</v>
      </c>
      <c r="B593" s="107" t="s">
        <v>1184</v>
      </c>
    </row>
    <row r="594" spans="1:2" s="8" customFormat="1" ht="25.5" customHeight="1">
      <c r="A594" s="9" t="s">
        <v>1185</v>
      </c>
      <c r="B594" s="107" t="s">
        <v>1186</v>
      </c>
    </row>
    <row r="595" spans="1:2" s="8" customFormat="1" ht="25.5" customHeight="1">
      <c r="A595" s="9" t="s">
        <v>1187</v>
      </c>
      <c r="B595" s="107" t="s">
        <v>1188</v>
      </c>
    </row>
    <row r="596" spans="1:2" s="8" customFormat="1" ht="25.5" customHeight="1">
      <c r="A596" s="9" t="s">
        <v>1189</v>
      </c>
      <c r="B596" s="107" t="s">
        <v>1190</v>
      </c>
    </row>
    <row r="597" spans="1:2" s="8" customFormat="1" ht="25.5" customHeight="1">
      <c r="A597" s="9" t="s">
        <v>1191</v>
      </c>
      <c r="B597" s="107" t="s">
        <v>1192</v>
      </c>
    </row>
    <row r="598" spans="1:2" s="8" customFormat="1" ht="25.5" customHeight="1">
      <c r="A598" s="9" t="s">
        <v>1193</v>
      </c>
      <c r="B598" s="107" t="s">
        <v>1194</v>
      </c>
    </row>
    <row r="599" spans="1:2" s="8" customFormat="1" ht="25.5" customHeight="1">
      <c r="A599" s="9" t="s">
        <v>1195</v>
      </c>
      <c r="B599" s="107" t="s">
        <v>1196</v>
      </c>
    </row>
    <row r="600" spans="1:2" s="8" customFormat="1" ht="25.5" customHeight="1">
      <c r="A600" s="9" t="s">
        <v>1197</v>
      </c>
      <c r="B600" s="107" t="s">
        <v>1198</v>
      </c>
    </row>
    <row r="601" spans="1:2" s="8" customFormat="1" ht="25.5" customHeight="1">
      <c r="A601" s="9" t="s">
        <v>1199</v>
      </c>
      <c r="B601" s="107" t="s">
        <v>1200</v>
      </c>
    </row>
    <row r="602" spans="1:2" s="8" customFormat="1" ht="25.5" customHeight="1">
      <c r="A602" s="9" t="s">
        <v>1201</v>
      </c>
      <c r="B602" s="107" t="s">
        <v>1202</v>
      </c>
    </row>
    <row r="603" spans="1:2" s="8" customFormat="1" ht="25.5" customHeight="1">
      <c r="A603" s="9" t="s">
        <v>1203</v>
      </c>
      <c r="B603" s="107" t="s">
        <v>1204</v>
      </c>
    </row>
    <row r="604" spans="1:2" s="8" customFormat="1" ht="25.5" customHeight="1">
      <c r="A604" s="9" t="s">
        <v>1205</v>
      </c>
      <c r="B604" s="107" t="s">
        <v>1206</v>
      </c>
    </row>
    <row r="605" spans="1:2" s="8" customFormat="1" ht="25.5" customHeight="1">
      <c r="A605" s="9" t="s">
        <v>1207</v>
      </c>
      <c r="B605" s="107" t="s">
        <v>1208</v>
      </c>
    </row>
    <row r="606" spans="1:2" s="8" customFormat="1" ht="25.5" customHeight="1">
      <c r="A606" s="9" t="s">
        <v>1209</v>
      </c>
      <c r="B606" s="107" t="s">
        <v>1210</v>
      </c>
    </row>
    <row r="607" spans="1:2" s="8" customFormat="1" ht="25.5" customHeight="1">
      <c r="A607" s="9" t="s">
        <v>1211</v>
      </c>
      <c r="B607" s="107" t="s">
        <v>1212</v>
      </c>
    </row>
    <row r="608" spans="1:2" s="8" customFormat="1" ht="25.5" customHeight="1">
      <c r="A608" s="9" t="s">
        <v>1213</v>
      </c>
      <c r="B608" s="107" t="s">
        <v>1214</v>
      </c>
    </row>
    <row r="609" spans="1:2" s="8" customFormat="1" ht="25.5" customHeight="1">
      <c r="A609" s="9" t="s">
        <v>1215</v>
      </c>
      <c r="B609" s="107" t="s">
        <v>1216</v>
      </c>
    </row>
    <row r="610" spans="1:2" s="8" customFormat="1" ht="25.5" customHeight="1">
      <c r="A610" s="9" t="s">
        <v>1217</v>
      </c>
      <c r="B610" s="107" t="s">
        <v>1218</v>
      </c>
    </row>
    <row r="611" spans="1:2" s="8" customFormat="1" ht="25.5" customHeight="1">
      <c r="A611" s="9" t="s">
        <v>1219</v>
      </c>
      <c r="B611" s="107" t="s">
        <v>1220</v>
      </c>
    </row>
    <row r="612" spans="1:2" s="8" customFormat="1" ht="25.5" customHeight="1">
      <c r="A612" s="9" t="s">
        <v>1221</v>
      </c>
      <c r="B612" s="107" t="s">
        <v>1222</v>
      </c>
    </row>
    <row r="613" spans="1:2" s="8" customFormat="1" ht="25.5" customHeight="1">
      <c r="A613" s="9" t="s">
        <v>1223</v>
      </c>
      <c r="B613" s="107" t="s">
        <v>1224</v>
      </c>
    </row>
    <row r="614" spans="1:2" s="8" customFormat="1" ht="25.5" customHeight="1">
      <c r="A614" s="9" t="s">
        <v>1225</v>
      </c>
      <c r="B614" s="107" t="s">
        <v>1226</v>
      </c>
    </row>
    <row r="615" spans="1:2" s="8" customFormat="1" ht="25.5" customHeight="1">
      <c r="A615" s="9" t="s">
        <v>1227</v>
      </c>
      <c r="B615" s="107" t="s">
        <v>1228</v>
      </c>
    </row>
    <row r="616" spans="1:2" s="8" customFormat="1" ht="25.5" customHeight="1">
      <c r="A616" s="9" t="s">
        <v>1229</v>
      </c>
      <c r="B616" s="107" t="s">
        <v>1230</v>
      </c>
    </row>
    <row r="617" spans="1:2" s="8" customFormat="1" ht="25.5" customHeight="1">
      <c r="A617" s="9" t="s">
        <v>1231</v>
      </c>
      <c r="B617" s="107" t="s">
        <v>1232</v>
      </c>
    </row>
    <row r="618" spans="1:2" s="8" customFormat="1" ht="25.5" customHeight="1">
      <c r="A618" s="9" t="s">
        <v>1233</v>
      </c>
      <c r="B618" s="107" t="s">
        <v>1234</v>
      </c>
    </row>
    <row r="619" spans="1:2" s="8" customFormat="1" ht="25.5" customHeight="1">
      <c r="A619" s="9" t="s">
        <v>1235</v>
      </c>
      <c r="B619" s="107" t="s">
        <v>1236</v>
      </c>
    </row>
    <row r="620" spans="1:2" s="8" customFormat="1" ht="25.5" customHeight="1">
      <c r="A620" s="9" t="s">
        <v>1237</v>
      </c>
      <c r="B620" s="107" t="s">
        <v>1238</v>
      </c>
    </row>
    <row r="621" spans="1:2" s="8" customFormat="1" ht="25.5" customHeight="1">
      <c r="A621" s="9" t="s">
        <v>1239</v>
      </c>
      <c r="B621" s="107" t="s">
        <v>1240</v>
      </c>
    </row>
    <row r="622" spans="1:2" s="8" customFormat="1" ht="25.5" customHeight="1">
      <c r="A622" s="9" t="s">
        <v>1241</v>
      </c>
      <c r="B622" s="107" t="s">
        <v>1242</v>
      </c>
    </row>
    <row r="623" spans="1:2" s="8" customFormat="1" ht="25.5" customHeight="1">
      <c r="A623" s="9" t="s">
        <v>1243</v>
      </c>
      <c r="B623" s="107" t="s">
        <v>1244</v>
      </c>
    </row>
    <row r="624" spans="1:2" s="8" customFormat="1" ht="25.5" customHeight="1">
      <c r="A624" s="9" t="s">
        <v>1245</v>
      </c>
      <c r="B624" s="107" t="s">
        <v>1246</v>
      </c>
    </row>
    <row r="625" spans="1:2" s="8" customFormat="1" ht="25.5" customHeight="1">
      <c r="A625" s="9" t="s">
        <v>1247</v>
      </c>
      <c r="B625" s="107" t="s">
        <v>1248</v>
      </c>
    </row>
    <row r="626" spans="1:2" s="8" customFormat="1" ht="25.5" customHeight="1">
      <c r="A626" s="9" t="s">
        <v>1249</v>
      </c>
      <c r="B626" s="107" t="s">
        <v>1250</v>
      </c>
    </row>
    <row r="627" spans="1:2" s="8" customFormat="1" ht="25.5" customHeight="1">
      <c r="A627" s="9" t="s">
        <v>1251</v>
      </c>
      <c r="B627" s="107" t="s">
        <v>1252</v>
      </c>
    </row>
    <row r="628" spans="1:2" s="8" customFormat="1" ht="25.5" customHeight="1">
      <c r="A628" s="9" t="s">
        <v>1253</v>
      </c>
      <c r="B628" s="107" t="s">
        <v>1254</v>
      </c>
    </row>
    <row r="629" spans="1:2" s="8" customFormat="1" ht="25.5" customHeight="1">
      <c r="A629" s="9" t="s">
        <v>1255</v>
      </c>
      <c r="B629" s="107" t="s">
        <v>1256</v>
      </c>
    </row>
    <row r="630" spans="1:2" s="8" customFormat="1" ht="25.5" customHeight="1">
      <c r="A630" s="9" t="s">
        <v>1257</v>
      </c>
      <c r="B630" s="107" t="s">
        <v>1258</v>
      </c>
    </row>
    <row r="631" spans="1:2" s="8" customFormat="1" ht="25.5" customHeight="1">
      <c r="A631" s="9" t="s">
        <v>1259</v>
      </c>
      <c r="B631" s="107" t="s">
        <v>1260</v>
      </c>
    </row>
    <row r="632" spans="1:2" s="8" customFormat="1" ht="25.5" customHeight="1">
      <c r="A632" s="9" t="s">
        <v>1261</v>
      </c>
      <c r="B632" s="107" t="s">
        <v>1262</v>
      </c>
    </row>
    <row r="633" spans="1:2" s="8" customFormat="1" ht="25.5" customHeight="1">
      <c r="A633" s="9" t="s">
        <v>1263</v>
      </c>
      <c r="B633" s="107" t="s">
        <v>1264</v>
      </c>
    </row>
    <row r="634" spans="1:2" s="8" customFormat="1" ht="25.5" customHeight="1">
      <c r="A634" s="9" t="s">
        <v>1265</v>
      </c>
      <c r="B634" s="107" t="s">
        <v>1266</v>
      </c>
    </row>
    <row r="635" spans="1:2" s="8" customFormat="1" ht="25.5" customHeight="1">
      <c r="A635" s="9" t="s">
        <v>1267</v>
      </c>
      <c r="B635" s="107" t="s">
        <v>1268</v>
      </c>
    </row>
    <row r="636" spans="1:2" s="8" customFormat="1" ht="25.5" customHeight="1">
      <c r="A636" s="9" t="s">
        <v>1269</v>
      </c>
      <c r="B636" s="107" t="s">
        <v>1270</v>
      </c>
    </row>
    <row r="637" spans="1:2" s="8" customFormat="1" ht="25.5" customHeight="1">
      <c r="A637" s="9" t="s">
        <v>1271</v>
      </c>
      <c r="B637" s="107" t="s">
        <v>1272</v>
      </c>
    </row>
    <row r="638" spans="1:2" s="8" customFormat="1" ht="25.5" customHeight="1">
      <c r="A638" s="9" t="s">
        <v>1273</v>
      </c>
      <c r="B638" s="107" t="s">
        <v>1274</v>
      </c>
    </row>
    <row r="639" spans="1:2" s="8" customFormat="1" ht="25.5" customHeight="1">
      <c r="A639" s="9" t="s">
        <v>1275</v>
      </c>
      <c r="B639" s="107" t="s">
        <v>1276</v>
      </c>
    </row>
    <row r="640" spans="1:2" s="8" customFormat="1" ht="25.5" customHeight="1">
      <c r="A640" s="9" t="s">
        <v>1277</v>
      </c>
      <c r="B640" s="107" t="s">
        <v>1278</v>
      </c>
    </row>
    <row r="641" spans="1:2" s="8" customFormat="1" ht="25.5" customHeight="1">
      <c r="A641" s="9" t="s">
        <v>1279</v>
      </c>
      <c r="B641" s="107" t="s">
        <v>1280</v>
      </c>
    </row>
    <row r="642" spans="1:2" s="8" customFormat="1" ht="25.5" customHeight="1">
      <c r="A642" s="9" t="s">
        <v>1281</v>
      </c>
      <c r="B642" s="107" t="s">
        <v>1282</v>
      </c>
    </row>
    <row r="643" spans="1:2" s="8" customFormat="1" ht="25.5" customHeight="1">
      <c r="A643" s="9" t="s">
        <v>1283</v>
      </c>
      <c r="B643" s="107" t="s">
        <v>1284</v>
      </c>
    </row>
    <row r="644" spans="1:2" s="8" customFormat="1" ht="25.5" customHeight="1">
      <c r="A644" s="9" t="s">
        <v>1285</v>
      </c>
      <c r="B644" s="107" t="s">
        <v>1286</v>
      </c>
    </row>
    <row r="645" spans="1:2" s="8" customFormat="1" ht="25.5" customHeight="1">
      <c r="A645" s="9" t="s">
        <v>1287</v>
      </c>
      <c r="B645" s="107" t="s">
        <v>1288</v>
      </c>
    </row>
    <row r="646" spans="1:2" s="8" customFormat="1" ht="25.5" customHeight="1">
      <c r="A646" s="9" t="s">
        <v>1289</v>
      </c>
      <c r="B646" s="107" t="s">
        <v>1290</v>
      </c>
    </row>
    <row r="647" spans="1:2" s="8" customFormat="1" ht="25.5" customHeight="1">
      <c r="A647" s="9" t="s">
        <v>1291</v>
      </c>
      <c r="B647" s="107" t="s">
        <v>1292</v>
      </c>
    </row>
    <row r="648" spans="1:2" s="8" customFormat="1" ht="25.5" customHeight="1">
      <c r="A648" s="9" t="s">
        <v>1293</v>
      </c>
      <c r="B648" s="107" t="s">
        <v>1294</v>
      </c>
    </row>
    <row r="649" spans="1:2" s="8" customFormat="1" ht="25.5" customHeight="1">
      <c r="A649" s="9" t="s">
        <v>1295</v>
      </c>
      <c r="B649" s="107" t="s">
        <v>1296</v>
      </c>
    </row>
    <row r="650" spans="1:2" s="8" customFormat="1" ht="25.5" customHeight="1">
      <c r="A650" s="9" t="s">
        <v>1297</v>
      </c>
      <c r="B650" s="107" t="s">
        <v>1298</v>
      </c>
    </row>
    <row r="651" spans="1:2" s="8" customFormat="1" ht="25.5" customHeight="1">
      <c r="A651" s="9" t="s">
        <v>1299</v>
      </c>
      <c r="B651" s="107" t="s">
        <v>1300</v>
      </c>
    </row>
    <row r="652" spans="1:2" s="8" customFormat="1" ht="25.5" customHeight="1">
      <c r="A652" s="9" t="s">
        <v>1301</v>
      </c>
      <c r="B652" s="107" t="s">
        <v>1302</v>
      </c>
    </row>
    <row r="653" spans="1:2" s="8" customFormat="1" ht="25.5" customHeight="1">
      <c r="A653" s="9" t="s">
        <v>1303</v>
      </c>
      <c r="B653" s="107" t="s">
        <v>1304</v>
      </c>
    </row>
    <row r="654" spans="1:2" s="8" customFormat="1" ht="25.5" customHeight="1">
      <c r="A654" s="9" t="s">
        <v>1305</v>
      </c>
      <c r="B654" s="107" t="s">
        <v>1306</v>
      </c>
    </row>
    <row r="655" spans="1:2" s="8" customFormat="1" ht="25.5" customHeight="1">
      <c r="A655" s="9" t="s">
        <v>1307</v>
      </c>
      <c r="B655" s="107" t="s">
        <v>1308</v>
      </c>
    </row>
    <row r="656" spans="1:2" s="8" customFormat="1" ht="25.5" customHeight="1">
      <c r="A656" s="9" t="s">
        <v>1309</v>
      </c>
      <c r="B656" s="107" t="s">
        <v>1310</v>
      </c>
    </row>
    <row r="657" spans="1:2" s="8" customFormat="1" ht="25.5" customHeight="1">
      <c r="A657" s="9" t="s">
        <v>1311</v>
      </c>
      <c r="B657" s="107" t="s">
        <v>1312</v>
      </c>
    </row>
    <row r="658" spans="1:2" s="8" customFormat="1" ht="25.5" customHeight="1">
      <c r="A658" s="9" t="s">
        <v>1313</v>
      </c>
      <c r="B658" s="107" t="s">
        <v>1314</v>
      </c>
    </row>
    <row r="659" spans="1:2" s="8" customFormat="1" ht="25.5" customHeight="1">
      <c r="A659" s="9" t="s">
        <v>1315</v>
      </c>
      <c r="B659" s="107" t="s">
        <v>1316</v>
      </c>
    </row>
    <row r="660" spans="1:2" s="8" customFormat="1" ht="25.5" customHeight="1">
      <c r="A660" s="9" t="s">
        <v>1317</v>
      </c>
      <c r="B660" s="107" t="s">
        <v>1318</v>
      </c>
    </row>
    <row r="661" spans="1:2" s="8" customFormat="1" ht="25.5" customHeight="1">
      <c r="A661" s="9" t="s">
        <v>1319</v>
      </c>
      <c r="B661" s="107" t="s">
        <v>1320</v>
      </c>
    </row>
    <row r="662" spans="1:2" s="8" customFormat="1" ht="25.5" customHeight="1">
      <c r="A662" s="9" t="s">
        <v>1321</v>
      </c>
      <c r="B662" s="107" t="s">
        <v>1322</v>
      </c>
    </row>
    <row r="663" spans="1:2" s="8" customFormat="1" ht="25.5" customHeight="1">
      <c r="A663" s="9" t="s">
        <v>1323</v>
      </c>
      <c r="B663" s="107" t="s">
        <v>1324</v>
      </c>
    </row>
    <row r="664" spans="1:2" s="8" customFormat="1" ht="25.5" customHeight="1">
      <c r="A664" s="9" t="s">
        <v>1325</v>
      </c>
      <c r="B664" s="107" t="s">
        <v>1326</v>
      </c>
    </row>
    <row r="665" spans="1:2" s="8" customFormat="1" ht="25.5" customHeight="1">
      <c r="A665" s="9" t="s">
        <v>1327</v>
      </c>
      <c r="B665" s="107" t="s">
        <v>1328</v>
      </c>
    </row>
    <row r="666" spans="1:2" s="8" customFormat="1" ht="25.5" customHeight="1">
      <c r="A666" s="9" t="s">
        <v>1329</v>
      </c>
      <c r="B666" s="107" t="s">
        <v>1330</v>
      </c>
    </row>
    <row r="667" spans="1:2" s="8" customFormat="1" ht="25.5" customHeight="1">
      <c r="A667" s="9" t="s">
        <v>1331</v>
      </c>
      <c r="B667" s="107" t="s">
        <v>1332</v>
      </c>
    </row>
    <row r="668" spans="1:2" s="8" customFormat="1" ht="25.5" customHeight="1">
      <c r="A668" s="9" t="s">
        <v>1333</v>
      </c>
      <c r="B668" s="107" t="s">
        <v>1334</v>
      </c>
    </row>
    <row r="669" spans="1:2" s="8" customFormat="1" ht="25.5" customHeight="1">
      <c r="A669" s="9" t="s">
        <v>1335</v>
      </c>
      <c r="B669" s="107" t="s">
        <v>1336</v>
      </c>
    </row>
    <row r="670" spans="1:2" s="8" customFormat="1" ht="25.5" customHeight="1">
      <c r="A670" s="9" t="s">
        <v>1337</v>
      </c>
      <c r="B670" s="107" t="s">
        <v>1338</v>
      </c>
    </row>
    <row r="671" spans="1:2" s="8" customFormat="1" ht="25.5" customHeight="1">
      <c r="A671" s="9" t="s">
        <v>1339</v>
      </c>
      <c r="B671" s="107" t="s">
        <v>1340</v>
      </c>
    </row>
    <row r="672" spans="1:2" s="8" customFormat="1" ht="25.5" customHeight="1">
      <c r="A672" s="9" t="s">
        <v>1341</v>
      </c>
      <c r="B672" s="107" t="s">
        <v>1342</v>
      </c>
    </row>
    <row r="673" spans="1:2" s="8" customFormat="1" ht="25.5" customHeight="1">
      <c r="A673" s="9" t="s">
        <v>1343</v>
      </c>
      <c r="B673" s="107" t="s">
        <v>1344</v>
      </c>
    </row>
    <row r="674" spans="1:2" s="8" customFormat="1" ht="25.5" customHeight="1">
      <c r="A674" s="9" t="s">
        <v>1345</v>
      </c>
      <c r="B674" s="107" t="s">
        <v>1346</v>
      </c>
    </row>
    <row r="675" spans="1:2" s="8" customFormat="1" ht="25.5" customHeight="1">
      <c r="A675" s="9" t="s">
        <v>1347</v>
      </c>
      <c r="B675" s="107" t="s">
        <v>1348</v>
      </c>
    </row>
    <row r="676" spans="1:2" s="8" customFormat="1" ht="25.5" customHeight="1">
      <c r="A676" s="9" t="s">
        <v>1349</v>
      </c>
      <c r="B676" s="107" t="s">
        <v>1350</v>
      </c>
    </row>
    <row r="677" spans="1:2" s="8" customFormat="1" ht="25.5" customHeight="1">
      <c r="A677" s="9" t="s">
        <v>1351</v>
      </c>
      <c r="B677" s="107" t="s">
        <v>1352</v>
      </c>
    </row>
    <row r="678" spans="1:2" s="8" customFormat="1" ht="25.5" customHeight="1">
      <c r="A678" s="9" t="s">
        <v>1353</v>
      </c>
      <c r="B678" s="107" t="s">
        <v>1354</v>
      </c>
    </row>
    <row r="679" spans="1:2" s="8" customFormat="1" ht="25.5" customHeight="1">
      <c r="A679" s="9" t="s">
        <v>1355</v>
      </c>
      <c r="B679" s="107" t="s">
        <v>1356</v>
      </c>
    </row>
    <row r="680" spans="1:2" s="8" customFormat="1" ht="25.5" customHeight="1">
      <c r="A680" s="9" t="s">
        <v>1357</v>
      </c>
      <c r="B680" s="107" t="s">
        <v>1358</v>
      </c>
    </row>
    <row r="681" spans="1:2" s="8" customFormat="1" ht="25.5" customHeight="1">
      <c r="A681" s="9" t="s">
        <v>1359</v>
      </c>
      <c r="B681" s="107" t="s">
        <v>1360</v>
      </c>
    </row>
    <row r="682" spans="1:2" s="8" customFormat="1" ht="25.5" customHeight="1">
      <c r="A682" s="9" t="s">
        <v>1361</v>
      </c>
      <c r="B682" s="107" t="s">
        <v>1362</v>
      </c>
    </row>
    <row r="683" spans="1:2" s="8" customFormat="1" ht="25.5" customHeight="1">
      <c r="A683" s="9" t="s">
        <v>1363</v>
      </c>
      <c r="B683" s="107" t="s">
        <v>1364</v>
      </c>
    </row>
    <row r="684" spans="1:2" s="8" customFormat="1" ht="25.5" customHeight="1">
      <c r="A684" s="9" t="s">
        <v>1365</v>
      </c>
      <c r="B684" s="107" t="s">
        <v>1366</v>
      </c>
    </row>
    <row r="685" spans="1:2" s="8" customFormat="1" ht="25.5" customHeight="1">
      <c r="A685" s="9" t="s">
        <v>1367</v>
      </c>
      <c r="B685" s="107" t="s">
        <v>1368</v>
      </c>
    </row>
    <row r="686" spans="1:2" s="8" customFormat="1" ht="25.5" customHeight="1">
      <c r="A686" s="9" t="s">
        <v>1369</v>
      </c>
      <c r="B686" s="107" t="s">
        <v>1370</v>
      </c>
    </row>
    <row r="687" spans="1:2" s="8" customFormat="1" ht="25.5" customHeight="1">
      <c r="A687" s="9" t="s">
        <v>1371</v>
      </c>
      <c r="B687" s="107" t="s">
        <v>1372</v>
      </c>
    </row>
    <row r="688" spans="1:2" s="8" customFormat="1" ht="25.5" customHeight="1">
      <c r="A688" s="9" t="s">
        <v>1373</v>
      </c>
      <c r="B688" s="107" t="s">
        <v>1374</v>
      </c>
    </row>
    <row r="689" spans="1:2" s="8" customFormat="1" ht="25.5" customHeight="1">
      <c r="A689" s="9" t="s">
        <v>1375</v>
      </c>
      <c r="B689" s="107" t="s">
        <v>1376</v>
      </c>
    </row>
    <row r="690" spans="1:2" s="8" customFormat="1" ht="25.5" customHeight="1">
      <c r="A690" s="9" t="s">
        <v>1377</v>
      </c>
      <c r="B690" s="107" t="s">
        <v>1378</v>
      </c>
    </row>
    <row r="691" spans="1:2" s="8" customFormat="1" ht="25.5" customHeight="1">
      <c r="A691" s="9" t="s">
        <v>1379</v>
      </c>
      <c r="B691" s="107" t="s">
        <v>1380</v>
      </c>
    </row>
    <row r="692" spans="1:2" s="8" customFormat="1" ht="25.5" customHeight="1">
      <c r="A692" s="9" t="s">
        <v>1381</v>
      </c>
      <c r="B692" s="107" t="s">
        <v>1382</v>
      </c>
    </row>
    <row r="693" spans="1:2" s="8" customFormat="1" ht="25.5" customHeight="1">
      <c r="A693" s="9" t="s">
        <v>1383</v>
      </c>
      <c r="B693" s="107" t="s">
        <v>1384</v>
      </c>
    </row>
    <row r="694" spans="1:2" s="8" customFormat="1" ht="25.5" customHeight="1">
      <c r="A694" s="9" t="s">
        <v>1385</v>
      </c>
      <c r="B694" s="107" t="s">
        <v>1386</v>
      </c>
    </row>
    <row r="695" spans="1:2" s="8" customFormat="1" ht="25.5" customHeight="1">
      <c r="A695" s="9" t="s">
        <v>1387</v>
      </c>
      <c r="B695" s="107" t="s">
        <v>1388</v>
      </c>
    </row>
    <row r="696" spans="1:2" s="8" customFormat="1" ht="25.5" customHeight="1">
      <c r="A696" s="9" t="s">
        <v>1389</v>
      </c>
      <c r="B696" s="107" t="s">
        <v>1390</v>
      </c>
    </row>
    <row r="697" spans="1:2" s="8" customFormat="1" ht="25.5" customHeight="1">
      <c r="A697" s="9" t="s">
        <v>1391</v>
      </c>
      <c r="B697" s="107" t="s">
        <v>1392</v>
      </c>
    </row>
    <row r="698" spans="1:2" s="8" customFormat="1" ht="25.5" customHeight="1">
      <c r="A698" s="9" t="s">
        <v>1393</v>
      </c>
      <c r="B698" s="107" t="s">
        <v>1394</v>
      </c>
    </row>
    <row r="699" spans="1:2" s="8" customFormat="1" ht="25.5" customHeight="1">
      <c r="A699" s="9" t="s">
        <v>1395</v>
      </c>
      <c r="B699" s="107" t="s">
        <v>1396</v>
      </c>
    </row>
    <row r="700" spans="1:2" s="8" customFormat="1" ht="25.5" customHeight="1">
      <c r="A700" s="9" t="s">
        <v>1397</v>
      </c>
      <c r="B700" s="107" t="s">
        <v>1398</v>
      </c>
    </row>
    <row r="701" spans="1:2" s="8" customFormat="1" ht="25.5" customHeight="1">
      <c r="A701" s="9" t="s">
        <v>1399</v>
      </c>
      <c r="B701" s="107" t="s">
        <v>1400</v>
      </c>
    </row>
    <row r="702" spans="1:2" s="8" customFormat="1" ht="25.5" customHeight="1">
      <c r="A702" s="9" t="s">
        <v>1401</v>
      </c>
      <c r="B702" s="107" t="s">
        <v>1402</v>
      </c>
    </row>
    <row r="703" spans="1:2" s="8" customFormat="1" ht="25.5" customHeight="1">
      <c r="A703" s="9" t="s">
        <v>1403</v>
      </c>
      <c r="B703" s="107" t="s">
        <v>1404</v>
      </c>
    </row>
    <row r="704" spans="1:2" s="8" customFormat="1" ht="25.5" customHeight="1">
      <c r="A704" s="9" t="s">
        <v>1405</v>
      </c>
      <c r="B704" s="107" t="s">
        <v>1406</v>
      </c>
    </row>
    <row r="705" spans="1:2" s="8" customFormat="1" ht="25.5" customHeight="1">
      <c r="A705" s="9" t="s">
        <v>1407</v>
      </c>
      <c r="B705" s="107" t="s">
        <v>1408</v>
      </c>
    </row>
    <row r="706" spans="1:2" s="8" customFormat="1" ht="25.5" customHeight="1">
      <c r="A706" s="9" t="s">
        <v>1409</v>
      </c>
      <c r="B706" s="107" t="s">
        <v>1410</v>
      </c>
    </row>
    <row r="707" spans="1:2" s="8" customFormat="1" ht="25.5" customHeight="1">
      <c r="A707" s="9" t="s">
        <v>1411</v>
      </c>
      <c r="B707" s="107" t="s">
        <v>1412</v>
      </c>
    </row>
    <row r="708" spans="1:2" s="8" customFormat="1" ht="25.5" customHeight="1">
      <c r="A708" s="9" t="s">
        <v>1413</v>
      </c>
      <c r="B708" s="107" t="s">
        <v>1414</v>
      </c>
    </row>
    <row r="709" spans="1:2" s="8" customFormat="1" ht="25.5" customHeight="1">
      <c r="A709" s="9" t="s">
        <v>1415</v>
      </c>
      <c r="B709" s="107" t="s">
        <v>1416</v>
      </c>
    </row>
    <row r="710" spans="1:2" s="8" customFormat="1" ht="25.5" customHeight="1">
      <c r="A710" s="9" t="s">
        <v>1417</v>
      </c>
      <c r="B710" s="107" t="s">
        <v>1418</v>
      </c>
    </row>
    <row r="711" spans="1:2" s="8" customFormat="1" ht="25.5" customHeight="1">
      <c r="A711" s="9" t="s">
        <v>1419</v>
      </c>
      <c r="B711" s="107" t="s">
        <v>1420</v>
      </c>
    </row>
    <row r="712" spans="1:2" s="8" customFormat="1" ht="25.5" customHeight="1">
      <c r="A712" s="9" t="s">
        <v>1421</v>
      </c>
      <c r="B712" s="107" t="s">
        <v>1422</v>
      </c>
    </row>
    <row r="713" spans="1:2" s="8" customFormat="1" ht="25.5" customHeight="1">
      <c r="A713" s="9" t="s">
        <v>1423</v>
      </c>
      <c r="B713" s="107" t="s">
        <v>1424</v>
      </c>
    </row>
    <row r="714" spans="1:2" s="8" customFormat="1" ht="25.5" customHeight="1">
      <c r="A714" s="9" t="s">
        <v>1425</v>
      </c>
      <c r="B714" s="107" t="s">
        <v>1426</v>
      </c>
    </row>
    <row r="715" spans="1:2" s="8" customFormat="1" ht="25.5" customHeight="1">
      <c r="A715" s="9" t="s">
        <v>1427</v>
      </c>
      <c r="B715" s="107" t="s">
        <v>1428</v>
      </c>
    </row>
    <row r="716" spans="1:2" s="8" customFormat="1" ht="25.5" customHeight="1">
      <c r="A716" s="9" t="s">
        <v>1429</v>
      </c>
      <c r="B716" s="107" t="s">
        <v>1430</v>
      </c>
    </row>
    <row r="717" spans="1:2" s="8" customFormat="1" ht="25.5" customHeight="1">
      <c r="A717" s="9" t="s">
        <v>1431</v>
      </c>
      <c r="B717" s="107" t="s">
        <v>1432</v>
      </c>
    </row>
    <row r="718" spans="1:2" s="8" customFormat="1" ht="25.5" customHeight="1">
      <c r="A718" s="9" t="s">
        <v>1433</v>
      </c>
      <c r="B718" s="107" t="s">
        <v>1434</v>
      </c>
    </row>
    <row r="719" spans="1:2" s="8" customFormat="1" ht="25.5" customHeight="1">
      <c r="A719" s="9" t="s">
        <v>1435</v>
      </c>
      <c r="B719" s="107" t="s">
        <v>1436</v>
      </c>
    </row>
    <row r="720" spans="1:2" s="8" customFormat="1" ht="25.5" customHeight="1">
      <c r="A720" s="9" t="s">
        <v>1437</v>
      </c>
      <c r="B720" s="107" t="s">
        <v>1438</v>
      </c>
    </row>
    <row r="721" spans="1:2" s="8" customFormat="1" ht="25.5" customHeight="1">
      <c r="A721" s="9" t="s">
        <v>1439</v>
      </c>
      <c r="B721" s="107" t="s">
        <v>1440</v>
      </c>
    </row>
    <row r="722" spans="1:2" s="8" customFormat="1" ht="25.5" customHeight="1">
      <c r="A722" s="9" t="s">
        <v>1441</v>
      </c>
      <c r="B722" s="107" t="s">
        <v>1442</v>
      </c>
    </row>
    <row r="723" spans="1:2" s="8" customFormat="1" ht="25.5" customHeight="1">
      <c r="A723" s="9" t="s">
        <v>1443</v>
      </c>
      <c r="B723" s="107" t="s">
        <v>1444</v>
      </c>
    </row>
    <row r="724" spans="1:2" s="8" customFormat="1" ht="25.5" customHeight="1">
      <c r="A724" s="9" t="s">
        <v>1445</v>
      </c>
      <c r="B724" s="107" t="s">
        <v>1446</v>
      </c>
    </row>
    <row r="725" spans="1:2" s="8" customFormat="1" ht="25.5" customHeight="1">
      <c r="A725" s="9" t="s">
        <v>1447</v>
      </c>
      <c r="B725" s="107" t="s">
        <v>1448</v>
      </c>
    </row>
    <row r="726" spans="1:2" s="8" customFormat="1" ht="25.5" customHeight="1">
      <c r="A726" s="9" t="s">
        <v>1449</v>
      </c>
      <c r="B726" s="107" t="s">
        <v>1450</v>
      </c>
    </row>
    <row r="727" spans="1:2" s="8" customFormat="1" ht="25.5" customHeight="1">
      <c r="A727" s="9" t="s">
        <v>1451</v>
      </c>
      <c r="B727" s="107" t="s">
        <v>1452</v>
      </c>
    </row>
    <row r="728" spans="1:2" s="8" customFormat="1" ht="25.5" customHeight="1">
      <c r="A728" s="9" t="s">
        <v>1453</v>
      </c>
      <c r="B728" s="107" t="s">
        <v>1454</v>
      </c>
    </row>
    <row r="729" spans="1:2" s="8" customFormat="1" ht="25.5" customHeight="1">
      <c r="A729" s="9" t="s">
        <v>1455</v>
      </c>
      <c r="B729" s="107" t="s">
        <v>1456</v>
      </c>
    </row>
    <row r="730" spans="1:2" s="8" customFormat="1" ht="25.5" customHeight="1">
      <c r="A730" s="9" t="s">
        <v>1457</v>
      </c>
      <c r="B730" s="107" t="s">
        <v>1458</v>
      </c>
    </row>
    <row r="731" spans="1:2" s="8" customFormat="1" ht="25.5" customHeight="1">
      <c r="A731" s="9" t="s">
        <v>1459</v>
      </c>
      <c r="B731" s="107" t="s">
        <v>1460</v>
      </c>
    </row>
    <row r="732" spans="1:2" s="8" customFormat="1" ht="25.5" customHeight="1">
      <c r="A732" s="9" t="s">
        <v>1461</v>
      </c>
      <c r="B732" s="107" t="s">
        <v>1462</v>
      </c>
    </row>
    <row r="733" spans="1:2" s="8" customFormat="1" ht="25.5" customHeight="1">
      <c r="A733" s="9" t="s">
        <v>1463</v>
      </c>
      <c r="B733" s="107" t="s">
        <v>1464</v>
      </c>
    </row>
    <row r="734" spans="1:2" s="8" customFormat="1" ht="25.5" customHeight="1">
      <c r="A734" s="9" t="s">
        <v>1465</v>
      </c>
      <c r="B734" s="107" t="s">
        <v>1466</v>
      </c>
    </row>
    <row r="735" spans="1:2" s="8" customFormat="1" ht="25.5" customHeight="1">
      <c r="A735" s="9" t="s">
        <v>1467</v>
      </c>
      <c r="B735" s="107" t="s">
        <v>1468</v>
      </c>
    </row>
    <row r="736" spans="1:2" s="8" customFormat="1" ht="25.5" customHeight="1">
      <c r="A736" s="9" t="s">
        <v>1469</v>
      </c>
      <c r="B736" s="107" t="s">
        <v>1470</v>
      </c>
    </row>
    <row r="737" spans="1:2" s="8" customFormat="1" ht="25.5" customHeight="1">
      <c r="A737" s="9" t="s">
        <v>1471</v>
      </c>
      <c r="B737" s="107" t="s">
        <v>1472</v>
      </c>
    </row>
    <row r="738" spans="1:2" s="8" customFormat="1" ht="25.5" customHeight="1">
      <c r="A738" s="9" t="s">
        <v>1473</v>
      </c>
      <c r="B738" s="107" t="s">
        <v>1474</v>
      </c>
    </row>
    <row r="739" spans="1:2" s="8" customFormat="1" ht="25.5" customHeight="1">
      <c r="A739" s="9" t="s">
        <v>1475</v>
      </c>
      <c r="B739" s="107" t="s">
        <v>1476</v>
      </c>
    </row>
    <row r="740" spans="1:2" s="8" customFormat="1" ht="25.5" customHeight="1">
      <c r="A740" s="9" t="s">
        <v>1477</v>
      </c>
      <c r="B740" s="107" t="s">
        <v>1478</v>
      </c>
    </row>
    <row r="741" spans="1:2" s="8" customFormat="1" ht="25.5" customHeight="1">
      <c r="A741" s="9" t="s">
        <v>1479</v>
      </c>
      <c r="B741" s="107" t="s">
        <v>1480</v>
      </c>
    </row>
    <row r="742" spans="1:2" s="8" customFormat="1" ht="25.5" customHeight="1">
      <c r="A742" s="9" t="s">
        <v>1481</v>
      </c>
      <c r="B742" s="107" t="s">
        <v>1482</v>
      </c>
    </row>
    <row r="743" spans="1:2" s="8" customFormat="1" ht="25.5" customHeight="1">
      <c r="A743" s="11" t="s">
        <v>1483</v>
      </c>
      <c r="B743" s="107" t="s">
        <v>1484</v>
      </c>
    </row>
    <row r="744" spans="1:2" s="8" customFormat="1" ht="25.5" customHeight="1">
      <c r="A744" s="9" t="s">
        <v>1485</v>
      </c>
      <c r="B744" s="107" t="s">
        <v>1486</v>
      </c>
    </row>
    <row r="745" spans="1:2" s="8" customFormat="1" ht="25.5" customHeight="1">
      <c r="A745" s="9" t="s">
        <v>1487</v>
      </c>
      <c r="B745" s="107" t="s">
        <v>1488</v>
      </c>
    </row>
    <row r="746" spans="1:2" s="8" customFormat="1" ht="25.5" customHeight="1">
      <c r="A746" s="9" t="s">
        <v>1489</v>
      </c>
      <c r="B746" s="107" t="s">
        <v>1490</v>
      </c>
    </row>
    <row r="747" spans="1:2" s="8" customFormat="1" ht="25.5" customHeight="1">
      <c r="A747" s="9" t="s">
        <v>1491</v>
      </c>
      <c r="B747" s="107" t="s">
        <v>1492</v>
      </c>
    </row>
    <row r="748" spans="1:2" s="8" customFormat="1" ht="25.5" customHeight="1">
      <c r="A748" s="9" t="s">
        <v>1493</v>
      </c>
      <c r="B748" s="107" t="s">
        <v>1494</v>
      </c>
    </row>
    <row r="749" spans="1:2" s="8" customFormat="1" ht="25.5" customHeight="1">
      <c r="A749" s="9" t="s">
        <v>1495</v>
      </c>
      <c r="B749" s="107" t="s">
        <v>1496</v>
      </c>
    </row>
    <row r="750" spans="1:2" s="8" customFormat="1" ht="25.5" customHeight="1">
      <c r="A750" s="9" t="s">
        <v>1497</v>
      </c>
      <c r="B750" s="107" t="s">
        <v>1498</v>
      </c>
    </row>
    <row r="751" spans="1:2" s="8" customFormat="1" ht="25.5" customHeight="1">
      <c r="A751" s="9" t="s">
        <v>1499</v>
      </c>
      <c r="B751" s="107" t="s">
        <v>1500</v>
      </c>
    </row>
    <row r="752" spans="1:2" s="8" customFormat="1" ht="25.5" customHeight="1">
      <c r="A752" s="9" t="s">
        <v>1501</v>
      </c>
      <c r="B752" s="107" t="s">
        <v>1502</v>
      </c>
    </row>
    <row r="753" spans="1:2" s="8" customFormat="1" ht="25.5" customHeight="1">
      <c r="A753" s="9" t="s">
        <v>1503</v>
      </c>
      <c r="B753" s="107" t="s">
        <v>1504</v>
      </c>
    </row>
    <row r="754" spans="1:2" s="8" customFormat="1" ht="25.5" customHeight="1">
      <c r="A754" s="9" t="s">
        <v>1505</v>
      </c>
      <c r="B754" s="107" t="s">
        <v>1506</v>
      </c>
    </row>
    <row r="755" spans="1:2" s="8" customFormat="1" ht="25.5" customHeight="1">
      <c r="A755" s="9" t="s">
        <v>1507</v>
      </c>
      <c r="B755" s="107" t="s">
        <v>1508</v>
      </c>
    </row>
    <row r="756" spans="1:2" s="8" customFormat="1" ht="25.5" customHeight="1">
      <c r="A756" s="9" t="s">
        <v>1509</v>
      </c>
      <c r="B756" s="107" t="s">
        <v>1510</v>
      </c>
    </row>
    <row r="757" spans="1:2" s="8" customFormat="1" ht="25.5" customHeight="1">
      <c r="A757" s="9" t="s">
        <v>1511</v>
      </c>
      <c r="B757" s="107" t="s">
        <v>1512</v>
      </c>
    </row>
    <row r="758" spans="1:2" s="8" customFormat="1" ht="25.5" customHeight="1">
      <c r="A758" s="9" t="s">
        <v>1513</v>
      </c>
      <c r="B758" s="107" t="s">
        <v>1514</v>
      </c>
    </row>
    <row r="759" spans="1:2" s="8" customFormat="1" ht="25.5" customHeight="1">
      <c r="A759" s="9" t="s">
        <v>1515</v>
      </c>
      <c r="B759" s="107" t="s">
        <v>1516</v>
      </c>
    </row>
    <row r="760" spans="1:2" s="8" customFormat="1" ht="25.5" customHeight="1">
      <c r="A760" s="9" t="s">
        <v>1517</v>
      </c>
      <c r="B760" s="107" t="s">
        <v>1518</v>
      </c>
    </row>
    <row r="761" spans="1:2" s="8" customFormat="1" ht="25.5" customHeight="1">
      <c r="A761" s="9" t="s">
        <v>1519</v>
      </c>
      <c r="B761" s="107" t="s">
        <v>1520</v>
      </c>
    </row>
    <row r="762" spans="1:2" s="8" customFormat="1" ht="25.5" customHeight="1">
      <c r="A762" s="9" t="s">
        <v>1521</v>
      </c>
      <c r="B762" s="107" t="s">
        <v>1522</v>
      </c>
    </row>
    <row r="763" spans="1:2" s="8" customFormat="1" ht="25.5" customHeight="1">
      <c r="A763" s="9" t="s">
        <v>1523</v>
      </c>
      <c r="B763" s="107" t="s">
        <v>1524</v>
      </c>
    </row>
    <row r="764" spans="1:2" s="8" customFormat="1" ht="25.5" customHeight="1">
      <c r="A764" s="9" t="s">
        <v>1525</v>
      </c>
      <c r="B764" s="107" t="s">
        <v>1526</v>
      </c>
    </row>
    <row r="765" spans="1:2" s="8" customFormat="1" ht="25.5" customHeight="1">
      <c r="A765" s="9" t="s">
        <v>1527</v>
      </c>
      <c r="B765" s="107" t="s">
        <v>1528</v>
      </c>
    </row>
    <row r="766" spans="1:2" s="8" customFormat="1" ht="25.5" customHeight="1">
      <c r="A766" s="9" t="s">
        <v>1529</v>
      </c>
      <c r="B766" s="107" t="s">
        <v>1530</v>
      </c>
    </row>
    <row r="767" spans="1:2" s="8" customFormat="1" ht="25.5" customHeight="1">
      <c r="A767" s="9" t="s">
        <v>1531</v>
      </c>
      <c r="B767" s="107" t="s">
        <v>1532</v>
      </c>
    </row>
    <row r="768" spans="1:2" s="8" customFormat="1" ht="25.5" customHeight="1">
      <c r="A768" s="9" t="s">
        <v>1533</v>
      </c>
      <c r="B768" s="107" t="s">
        <v>1534</v>
      </c>
    </row>
    <row r="769" spans="1:2" s="8" customFormat="1" ht="25.5" customHeight="1">
      <c r="A769" s="9" t="s">
        <v>1535</v>
      </c>
      <c r="B769" s="107" t="s">
        <v>1536</v>
      </c>
    </row>
    <row r="770" spans="1:2" s="8" customFormat="1" ht="25.5" customHeight="1">
      <c r="A770" s="9" t="s">
        <v>1537</v>
      </c>
      <c r="B770" s="107" t="s">
        <v>1538</v>
      </c>
    </row>
    <row r="771" spans="1:2" s="8" customFormat="1" ht="25.5" customHeight="1">
      <c r="A771" s="9" t="s">
        <v>1539</v>
      </c>
      <c r="B771" s="107" t="s">
        <v>1540</v>
      </c>
    </row>
    <row r="772" spans="1:2" s="8" customFormat="1" ht="25.5" customHeight="1">
      <c r="A772" s="9" t="s">
        <v>1541</v>
      </c>
      <c r="B772" s="107" t="s">
        <v>1542</v>
      </c>
    </row>
    <row r="773" spans="1:2" s="8" customFormat="1" ht="25.5" customHeight="1">
      <c r="A773" s="9" t="s">
        <v>1543</v>
      </c>
      <c r="B773" s="107" t="s">
        <v>1544</v>
      </c>
    </row>
    <row r="774" spans="1:2" s="8" customFormat="1" ht="25.5" customHeight="1">
      <c r="A774" s="9" t="s">
        <v>1545</v>
      </c>
      <c r="B774" s="107" t="s">
        <v>1546</v>
      </c>
    </row>
    <row r="775" spans="1:2" s="8" customFormat="1" ht="25.5" customHeight="1">
      <c r="A775" s="9" t="s">
        <v>1547</v>
      </c>
      <c r="B775" s="107" t="s">
        <v>1548</v>
      </c>
    </row>
    <row r="776" spans="1:2" s="8" customFormat="1" ht="25.5" customHeight="1">
      <c r="A776" s="9" t="s">
        <v>1549</v>
      </c>
      <c r="B776" s="107" t="s">
        <v>1550</v>
      </c>
    </row>
    <row r="777" spans="1:2" s="8" customFormat="1" ht="25.5" customHeight="1">
      <c r="A777" s="9" t="s">
        <v>1551</v>
      </c>
      <c r="B777" s="107" t="s">
        <v>1552</v>
      </c>
    </row>
    <row r="778" spans="1:2" s="8" customFormat="1" ht="25.5" customHeight="1">
      <c r="A778" s="9" t="s">
        <v>1553</v>
      </c>
      <c r="B778" s="107" t="s">
        <v>1554</v>
      </c>
    </row>
    <row r="779" spans="1:2" s="8" customFormat="1" ht="25.5" customHeight="1">
      <c r="A779" s="9" t="s">
        <v>1555</v>
      </c>
      <c r="B779" s="107" t="s">
        <v>1556</v>
      </c>
    </row>
    <row r="780" spans="1:2" s="8" customFormat="1" ht="25.5" customHeight="1">
      <c r="A780" s="9" t="s">
        <v>1557</v>
      </c>
      <c r="B780" s="107" t="s">
        <v>1558</v>
      </c>
    </row>
    <row r="781" spans="1:2" s="8" customFormat="1" ht="25.5" customHeight="1">
      <c r="A781" s="9" t="s">
        <v>1559</v>
      </c>
      <c r="B781" s="107" t="s">
        <v>1560</v>
      </c>
    </row>
    <row r="782" spans="1:2" s="8" customFormat="1" ht="25.5" customHeight="1">
      <c r="A782" s="9" t="s">
        <v>1561</v>
      </c>
      <c r="B782" s="107" t="s">
        <v>1562</v>
      </c>
    </row>
    <row r="783" spans="1:2" s="8" customFormat="1" ht="25.5" customHeight="1">
      <c r="A783" s="9" t="s">
        <v>1563</v>
      </c>
      <c r="B783" s="107" t="s">
        <v>1564</v>
      </c>
    </row>
    <row r="784" spans="1:2" s="8" customFormat="1" ht="25.5" customHeight="1">
      <c r="A784" s="9" t="s">
        <v>1565</v>
      </c>
      <c r="B784" s="107" t="s">
        <v>1566</v>
      </c>
    </row>
    <row r="785" spans="1:2" s="8" customFormat="1" ht="25.5" customHeight="1">
      <c r="A785" s="9" t="s">
        <v>1567</v>
      </c>
      <c r="B785" s="107" t="s">
        <v>1568</v>
      </c>
    </row>
    <row r="786" spans="1:2" s="8" customFormat="1" ht="25.5" customHeight="1">
      <c r="A786" s="9" t="s">
        <v>1569</v>
      </c>
      <c r="B786" s="107" t="s">
        <v>1570</v>
      </c>
    </row>
    <row r="787" spans="1:2" s="8" customFormat="1" ht="25.5" customHeight="1">
      <c r="A787" s="9" t="s">
        <v>1571</v>
      </c>
      <c r="B787" s="107" t="s">
        <v>1572</v>
      </c>
    </row>
    <row r="788" spans="1:2" s="8" customFormat="1" ht="25.5" customHeight="1">
      <c r="A788" s="9" t="s">
        <v>1573</v>
      </c>
      <c r="B788" s="107" t="s">
        <v>1574</v>
      </c>
    </row>
    <row r="789" spans="1:2" s="8" customFormat="1" ht="25.5" customHeight="1">
      <c r="A789" s="9" t="s">
        <v>1575</v>
      </c>
      <c r="B789" s="107" t="s">
        <v>1576</v>
      </c>
    </row>
    <row r="790" spans="1:2" s="8" customFormat="1" ht="25.5" customHeight="1">
      <c r="A790" s="9" t="s">
        <v>1577</v>
      </c>
      <c r="B790" s="107" t="s">
        <v>1578</v>
      </c>
    </row>
    <row r="791" spans="1:2" s="8" customFormat="1" ht="25.5" customHeight="1">
      <c r="A791" s="9" t="s">
        <v>1579</v>
      </c>
      <c r="B791" s="107" t="s">
        <v>1580</v>
      </c>
    </row>
    <row r="792" spans="1:2" s="8" customFormat="1" ht="25.5" customHeight="1">
      <c r="A792" s="9" t="s">
        <v>1581</v>
      </c>
      <c r="B792" s="107" t="s">
        <v>1582</v>
      </c>
    </row>
    <row r="793" spans="1:2" s="8" customFormat="1" ht="25.5" customHeight="1">
      <c r="A793" s="9" t="s">
        <v>1583</v>
      </c>
      <c r="B793" s="107" t="s">
        <v>1584</v>
      </c>
    </row>
    <row r="794" spans="1:2" s="8" customFormat="1" ht="25.5" customHeight="1">
      <c r="A794" s="9" t="s">
        <v>1585</v>
      </c>
      <c r="B794" s="107" t="s">
        <v>1586</v>
      </c>
    </row>
    <row r="795" spans="1:2" s="8" customFormat="1" ht="25.5" customHeight="1">
      <c r="A795" s="9" t="s">
        <v>1587</v>
      </c>
      <c r="B795" s="107" t="s">
        <v>1588</v>
      </c>
    </row>
    <row r="796" spans="1:2" s="8" customFormat="1" ht="25.5" customHeight="1">
      <c r="A796" s="9" t="s">
        <v>1589</v>
      </c>
      <c r="B796" s="107" t="s">
        <v>1590</v>
      </c>
    </row>
    <row r="797" spans="1:2" s="8" customFormat="1" ht="25.5" customHeight="1">
      <c r="A797" s="9" t="s">
        <v>1591</v>
      </c>
      <c r="B797" s="107" t="s">
        <v>1592</v>
      </c>
    </row>
    <row r="798" spans="1:2" s="8" customFormat="1" ht="25.5" customHeight="1">
      <c r="A798" s="9" t="s">
        <v>1593</v>
      </c>
      <c r="B798" s="107" t="s">
        <v>1594</v>
      </c>
    </row>
    <row r="799" spans="1:2" s="8" customFormat="1" ht="25.5" customHeight="1">
      <c r="A799" s="9" t="s">
        <v>1595</v>
      </c>
      <c r="B799" s="107" t="s">
        <v>1596</v>
      </c>
    </row>
    <row r="800" spans="1:2" s="8" customFormat="1" ht="25.5" customHeight="1">
      <c r="A800" s="9" t="s">
        <v>1597</v>
      </c>
      <c r="B800" s="107" t="s">
        <v>1598</v>
      </c>
    </row>
    <row r="801" spans="1:2" s="8" customFormat="1" ht="25.5" customHeight="1">
      <c r="A801" s="9" t="s">
        <v>1599</v>
      </c>
      <c r="B801" s="107" t="s">
        <v>1600</v>
      </c>
    </row>
    <row r="802" spans="1:2" s="8" customFormat="1" ht="25.5" customHeight="1">
      <c r="A802" s="9" t="s">
        <v>1601</v>
      </c>
      <c r="B802" s="107" t="s">
        <v>1602</v>
      </c>
    </row>
    <row r="803" spans="1:2" s="8" customFormat="1" ht="25.5" customHeight="1">
      <c r="A803" s="9" t="s">
        <v>1603</v>
      </c>
      <c r="B803" s="107" t="s">
        <v>1604</v>
      </c>
    </row>
    <row r="804" spans="1:2" s="8" customFormat="1" ht="25.5" customHeight="1">
      <c r="A804" s="9" t="s">
        <v>1605</v>
      </c>
      <c r="B804" s="107" t="s">
        <v>1606</v>
      </c>
    </row>
    <row r="805" spans="1:2" s="8" customFormat="1" ht="25.5" customHeight="1">
      <c r="A805" s="9" t="s">
        <v>1607</v>
      </c>
      <c r="B805" s="107" t="s">
        <v>1608</v>
      </c>
    </row>
    <row r="806" spans="1:2" s="8" customFormat="1" ht="25.5" customHeight="1">
      <c r="A806" s="9" t="s">
        <v>1609</v>
      </c>
      <c r="B806" s="107" t="s">
        <v>1610</v>
      </c>
    </row>
    <row r="807" spans="1:2" s="8" customFormat="1" ht="25.5" customHeight="1">
      <c r="A807" s="9" t="s">
        <v>1611</v>
      </c>
      <c r="B807" s="107" t="s">
        <v>1612</v>
      </c>
    </row>
    <row r="808" spans="1:2" s="8" customFormat="1" ht="25.5" customHeight="1">
      <c r="A808" s="9" t="s">
        <v>1613</v>
      </c>
      <c r="B808" s="107" t="s">
        <v>1614</v>
      </c>
    </row>
    <row r="809" spans="1:2" s="8" customFormat="1" ht="25.5" customHeight="1">
      <c r="A809" s="9" t="s">
        <v>1615</v>
      </c>
      <c r="B809" s="107" t="s">
        <v>1616</v>
      </c>
    </row>
    <row r="810" spans="1:2" s="8" customFormat="1" ht="25.5" customHeight="1">
      <c r="A810" s="9" t="s">
        <v>1617</v>
      </c>
      <c r="B810" s="107" t="s">
        <v>1618</v>
      </c>
    </row>
    <row r="811" spans="1:2" s="8" customFormat="1" ht="25.5" customHeight="1">
      <c r="A811" s="9" t="s">
        <v>1619</v>
      </c>
      <c r="B811" s="107" t="s">
        <v>1620</v>
      </c>
    </row>
    <row r="812" spans="1:2" s="8" customFormat="1" ht="25.5" customHeight="1">
      <c r="A812" s="9" t="s">
        <v>1621</v>
      </c>
      <c r="B812" s="107" t="s">
        <v>1622</v>
      </c>
    </row>
    <row r="813" spans="1:2" s="8" customFormat="1" ht="25.5" customHeight="1">
      <c r="A813" s="9" t="s">
        <v>1623</v>
      </c>
      <c r="B813" s="107" t="s">
        <v>1624</v>
      </c>
    </row>
    <row r="814" spans="1:2" s="8" customFormat="1" ht="25.5" customHeight="1">
      <c r="A814" s="9" t="s">
        <v>1625</v>
      </c>
      <c r="B814" s="107" t="s">
        <v>1626</v>
      </c>
    </row>
    <row r="815" spans="1:2" s="8" customFormat="1" ht="25.5" customHeight="1">
      <c r="A815" s="9" t="s">
        <v>1627</v>
      </c>
      <c r="B815" s="107" t="s">
        <v>1628</v>
      </c>
    </row>
    <row r="816" spans="1:2" s="8" customFormat="1" ht="25.5" customHeight="1">
      <c r="A816" s="9" t="s">
        <v>1629</v>
      </c>
      <c r="B816" s="107" t="s">
        <v>1630</v>
      </c>
    </row>
    <row r="817" spans="1:2" s="8" customFormat="1" ht="25.5" customHeight="1">
      <c r="A817" s="9" t="s">
        <v>1631</v>
      </c>
      <c r="B817" s="107" t="s">
        <v>1632</v>
      </c>
    </row>
    <row r="818" spans="1:2" s="8" customFormat="1" ht="25.5" customHeight="1">
      <c r="A818" s="9" t="s">
        <v>1633</v>
      </c>
      <c r="B818" s="107" t="s">
        <v>1634</v>
      </c>
    </row>
    <row r="819" spans="1:2" s="8" customFormat="1" ht="25.5" customHeight="1">
      <c r="A819" s="9" t="s">
        <v>1635</v>
      </c>
      <c r="B819" s="107" t="s">
        <v>1636</v>
      </c>
    </row>
    <row r="820" spans="1:2" s="8" customFormat="1" ht="25.5" customHeight="1">
      <c r="A820" s="9" t="s">
        <v>1637</v>
      </c>
      <c r="B820" s="107" t="s">
        <v>1638</v>
      </c>
    </row>
    <row r="821" spans="1:2" s="8" customFormat="1" ht="25.5" customHeight="1">
      <c r="A821" s="9" t="s">
        <v>1639</v>
      </c>
      <c r="B821" s="107" t="s">
        <v>1640</v>
      </c>
    </row>
    <row r="822" spans="1:2" s="8" customFormat="1" ht="25.5" customHeight="1">
      <c r="A822" s="9" t="s">
        <v>1641</v>
      </c>
      <c r="B822" s="107" t="s">
        <v>1642</v>
      </c>
    </row>
    <row r="823" spans="1:2" s="8" customFormat="1" ht="25.5" customHeight="1">
      <c r="A823" s="9" t="s">
        <v>1643</v>
      </c>
      <c r="B823" s="107" t="s">
        <v>1644</v>
      </c>
    </row>
    <row r="824" spans="1:2" s="8" customFormat="1" ht="25.5" customHeight="1">
      <c r="A824" s="9" t="s">
        <v>1645</v>
      </c>
      <c r="B824" s="107" t="s">
        <v>1646</v>
      </c>
    </row>
    <row r="825" spans="1:2" s="8" customFormat="1" ht="25.5" customHeight="1">
      <c r="A825" s="9" t="s">
        <v>1647</v>
      </c>
      <c r="B825" s="107" t="s">
        <v>1648</v>
      </c>
    </row>
    <row r="826" spans="1:2" s="8" customFormat="1" ht="25.5" customHeight="1">
      <c r="A826" s="9" t="s">
        <v>1649</v>
      </c>
      <c r="B826" s="107" t="s">
        <v>1650</v>
      </c>
    </row>
    <row r="827" spans="1:2" s="8" customFormat="1" ht="25.5" customHeight="1">
      <c r="A827" s="9" t="s">
        <v>1651</v>
      </c>
      <c r="B827" s="107" t="s">
        <v>1652</v>
      </c>
    </row>
    <row r="828" spans="1:2" s="8" customFormat="1" ht="25.5" customHeight="1">
      <c r="A828" s="9" t="s">
        <v>1653</v>
      </c>
      <c r="B828" s="107" t="s">
        <v>1654</v>
      </c>
    </row>
    <row r="829" spans="1:2" s="8" customFormat="1" ht="25.5" customHeight="1">
      <c r="A829" s="9" t="s">
        <v>1655</v>
      </c>
      <c r="B829" s="107" t="s">
        <v>1656</v>
      </c>
    </row>
    <row r="830" spans="1:2" s="8" customFormat="1" ht="25.5" customHeight="1">
      <c r="A830" s="9" t="s">
        <v>1657</v>
      </c>
      <c r="B830" s="107" t="s">
        <v>1658</v>
      </c>
    </row>
    <row r="831" spans="1:2" s="8" customFormat="1" ht="25.5" customHeight="1">
      <c r="A831" s="9" t="s">
        <v>1659</v>
      </c>
      <c r="B831" s="107" t="s">
        <v>1660</v>
      </c>
    </row>
    <row r="832" spans="1:2" s="8" customFormat="1" ht="25.5" customHeight="1">
      <c r="A832" s="9" t="s">
        <v>1661</v>
      </c>
      <c r="B832" s="107" t="s">
        <v>1662</v>
      </c>
    </row>
    <row r="833" spans="1:2" s="8" customFormat="1" ht="25.5" customHeight="1">
      <c r="A833" s="9" t="s">
        <v>1663</v>
      </c>
      <c r="B833" s="107" t="s">
        <v>1664</v>
      </c>
    </row>
    <row r="834" spans="1:2" s="8" customFormat="1" ht="25.5" customHeight="1">
      <c r="A834" s="9" t="s">
        <v>1665</v>
      </c>
      <c r="B834" s="107" t="s">
        <v>1666</v>
      </c>
    </row>
    <row r="835" spans="1:2" s="8" customFormat="1" ht="25.5" customHeight="1">
      <c r="A835" s="9" t="s">
        <v>1667</v>
      </c>
      <c r="B835" s="107" t="s">
        <v>1668</v>
      </c>
    </row>
    <row r="836" spans="1:2" s="8" customFormat="1" ht="25.5" customHeight="1">
      <c r="A836" s="9" t="s">
        <v>1669</v>
      </c>
      <c r="B836" s="107" t="s">
        <v>1670</v>
      </c>
    </row>
    <row r="837" spans="1:2" s="8" customFormat="1" ht="25.5" customHeight="1">
      <c r="A837" s="9" t="s">
        <v>1671</v>
      </c>
      <c r="B837" s="107" t="s">
        <v>1672</v>
      </c>
    </row>
    <row r="838" spans="1:2" s="8" customFormat="1" ht="25.5" customHeight="1">
      <c r="A838" s="9" t="s">
        <v>1673</v>
      </c>
      <c r="B838" s="107" t="s">
        <v>1674</v>
      </c>
    </row>
    <row r="839" spans="1:2" s="8" customFormat="1" ht="25.5" customHeight="1">
      <c r="A839" s="9" t="s">
        <v>1675</v>
      </c>
      <c r="B839" s="107" t="s">
        <v>1676</v>
      </c>
    </row>
    <row r="840" spans="1:2" s="8" customFormat="1" ht="25.5" customHeight="1">
      <c r="A840" s="9" t="s">
        <v>1677</v>
      </c>
      <c r="B840" s="107" t="s">
        <v>1678</v>
      </c>
    </row>
    <row r="841" spans="1:2" s="8" customFormat="1" ht="25.5" customHeight="1">
      <c r="A841" s="9" t="s">
        <v>1679</v>
      </c>
      <c r="B841" s="107" t="s">
        <v>1680</v>
      </c>
    </row>
    <row r="842" spans="1:2" s="8" customFormat="1" ht="25.5" customHeight="1">
      <c r="A842" s="9" t="s">
        <v>1681</v>
      </c>
      <c r="B842" s="107" t="s">
        <v>1682</v>
      </c>
    </row>
    <row r="843" spans="1:2" s="8" customFormat="1" ht="25.5" customHeight="1">
      <c r="A843" s="9" t="s">
        <v>1683</v>
      </c>
      <c r="B843" s="107" t="s">
        <v>1684</v>
      </c>
    </row>
    <row r="844" spans="1:2" s="8" customFormat="1" ht="25.5" customHeight="1">
      <c r="A844" s="9" t="s">
        <v>1685</v>
      </c>
      <c r="B844" s="107" t="s">
        <v>1686</v>
      </c>
    </row>
    <row r="845" spans="1:2" s="8" customFormat="1" ht="25.5" customHeight="1">
      <c r="A845" s="9" t="s">
        <v>1687</v>
      </c>
      <c r="B845" s="107" t="s">
        <v>1688</v>
      </c>
    </row>
    <row r="846" spans="1:2" s="8" customFormat="1" ht="25.5" customHeight="1">
      <c r="A846" s="9" t="s">
        <v>1689</v>
      </c>
      <c r="B846" s="107" t="s">
        <v>1690</v>
      </c>
    </row>
    <row r="847" spans="1:2" s="8" customFormat="1" ht="25.5" customHeight="1">
      <c r="A847" s="9" t="s">
        <v>1691</v>
      </c>
      <c r="B847" s="107" t="s">
        <v>1692</v>
      </c>
    </row>
    <row r="848" spans="1:2" s="8" customFormat="1" ht="25.5" customHeight="1">
      <c r="A848" s="9" t="s">
        <v>1693</v>
      </c>
      <c r="B848" s="107" t="s">
        <v>1694</v>
      </c>
    </row>
    <row r="849" spans="1:2" s="8" customFormat="1" ht="25.5" customHeight="1">
      <c r="A849" s="9" t="s">
        <v>1695</v>
      </c>
      <c r="B849" s="107" t="s">
        <v>1696</v>
      </c>
    </row>
    <row r="850" spans="1:2" s="8" customFormat="1" ht="25.5" customHeight="1">
      <c r="A850" s="9" t="s">
        <v>1697</v>
      </c>
      <c r="B850" s="107" t="s">
        <v>1698</v>
      </c>
    </row>
    <row r="851" spans="1:2" s="8" customFormat="1" ht="25.5" customHeight="1">
      <c r="A851" s="9" t="s">
        <v>1699</v>
      </c>
      <c r="B851" s="107" t="s">
        <v>1700</v>
      </c>
    </row>
    <row r="852" spans="1:2" s="8" customFormat="1" ht="25.5" customHeight="1">
      <c r="A852" s="9" t="s">
        <v>1701</v>
      </c>
      <c r="B852" s="107" t="s">
        <v>1702</v>
      </c>
    </row>
    <row r="853" spans="1:2" s="8" customFormat="1" ht="25.5" customHeight="1">
      <c r="A853" s="9" t="s">
        <v>1703</v>
      </c>
      <c r="B853" s="107" t="s">
        <v>1704</v>
      </c>
    </row>
    <row r="854" spans="1:2" s="8" customFormat="1" ht="25.5" customHeight="1">
      <c r="A854" s="9" t="s">
        <v>1705</v>
      </c>
      <c r="B854" s="107" t="s">
        <v>1706</v>
      </c>
    </row>
    <row r="855" spans="1:2" s="8" customFormat="1" ht="25.5" customHeight="1">
      <c r="A855" s="9" t="s">
        <v>1707</v>
      </c>
      <c r="B855" s="107" t="s">
        <v>1708</v>
      </c>
    </row>
    <row r="856" spans="1:2" s="8" customFormat="1" ht="25.5" customHeight="1">
      <c r="A856" s="9" t="s">
        <v>1709</v>
      </c>
      <c r="B856" s="107" t="s">
        <v>1710</v>
      </c>
    </row>
    <row r="857" spans="1:2" s="8" customFormat="1" ht="25.5" customHeight="1">
      <c r="A857" s="9" t="s">
        <v>1711</v>
      </c>
      <c r="B857" s="107" t="s">
        <v>1712</v>
      </c>
    </row>
    <row r="858" spans="1:2" s="8" customFormat="1" ht="25.5" customHeight="1">
      <c r="A858" s="9" t="s">
        <v>1713</v>
      </c>
      <c r="B858" s="107" t="s">
        <v>1714</v>
      </c>
    </row>
    <row r="859" spans="1:2" s="8" customFormat="1" ht="25.5" customHeight="1">
      <c r="A859" s="9" t="s">
        <v>1715</v>
      </c>
      <c r="B859" s="107" t="s">
        <v>1716</v>
      </c>
    </row>
    <row r="860" spans="1:2" s="8" customFormat="1" ht="25.5" customHeight="1">
      <c r="A860" s="9" t="s">
        <v>1717</v>
      </c>
      <c r="B860" s="107" t="s">
        <v>1718</v>
      </c>
    </row>
    <row r="861" spans="1:2" s="8" customFormat="1" ht="25.5" customHeight="1">
      <c r="A861" s="9" t="s">
        <v>1719</v>
      </c>
      <c r="B861" s="107" t="s">
        <v>1720</v>
      </c>
    </row>
    <row r="862" spans="1:2" s="8" customFormat="1" ht="25.5" customHeight="1">
      <c r="A862" s="9" t="s">
        <v>1721</v>
      </c>
      <c r="B862" s="107" t="s">
        <v>1722</v>
      </c>
    </row>
    <row r="863" spans="1:2" s="8" customFormat="1" ht="25.5" customHeight="1">
      <c r="A863" s="9" t="s">
        <v>1723</v>
      </c>
      <c r="B863" s="107" t="s">
        <v>1724</v>
      </c>
    </row>
    <row r="864" spans="1:2" s="8" customFormat="1" ht="25.5" customHeight="1">
      <c r="A864" s="9" t="s">
        <v>1725</v>
      </c>
      <c r="B864" s="107" t="s">
        <v>1726</v>
      </c>
    </row>
    <row r="865" spans="1:2" s="8" customFormat="1" ht="25.5" customHeight="1">
      <c r="A865" s="9" t="s">
        <v>1727</v>
      </c>
      <c r="B865" s="107" t="s">
        <v>1728</v>
      </c>
    </row>
    <row r="866" spans="1:2" s="8" customFormat="1" ht="25.5" customHeight="1">
      <c r="A866" s="9" t="s">
        <v>1729</v>
      </c>
      <c r="B866" s="107" t="s">
        <v>1730</v>
      </c>
    </row>
    <row r="867" spans="1:2" s="8" customFormat="1" ht="25.5" customHeight="1">
      <c r="A867" s="9" t="s">
        <v>1731</v>
      </c>
      <c r="B867" s="107" t="s">
        <v>1732</v>
      </c>
    </row>
    <row r="868" spans="1:2" s="8" customFormat="1" ht="25.5" customHeight="1">
      <c r="A868" s="9" t="s">
        <v>1733</v>
      </c>
      <c r="B868" s="107" t="s">
        <v>1734</v>
      </c>
    </row>
    <row r="869" spans="1:2" s="8" customFormat="1" ht="25.5" customHeight="1">
      <c r="A869" s="9" t="s">
        <v>1735</v>
      </c>
      <c r="B869" s="107" t="s">
        <v>1736</v>
      </c>
    </row>
    <row r="870" spans="1:2" s="8" customFormat="1" ht="25.5" customHeight="1">
      <c r="A870" s="9" t="s">
        <v>1737</v>
      </c>
      <c r="B870" s="107" t="s">
        <v>1738</v>
      </c>
    </row>
    <row r="871" spans="1:2" s="8" customFormat="1" ht="25.5" customHeight="1">
      <c r="A871" s="9" t="s">
        <v>1739</v>
      </c>
      <c r="B871" s="107" t="s">
        <v>1740</v>
      </c>
    </row>
    <row r="872" spans="1:2" s="8" customFormat="1" ht="25.5" customHeight="1">
      <c r="A872" s="9" t="s">
        <v>1741</v>
      </c>
      <c r="B872" s="107" t="s">
        <v>1742</v>
      </c>
    </row>
    <row r="873" spans="1:2" s="8" customFormat="1" ht="25.5" customHeight="1">
      <c r="A873" s="9" t="s">
        <v>1743</v>
      </c>
      <c r="B873" s="107" t="s">
        <v>1744</v>
      </c>
    </row>
    <row r="874" spans="1:2" s="8" customFormat="1" ht="25.5" customHeight="1">
      <c r="A874" s="9" t="s">
        <v>1745</v>
      </c>
      <c r="B874" s="107" t="s">
        <v>1746</v>
      </c>
    </row>
    <row r="875" spans="1:2" s="8" customFormat="1" ht="25.5" customHeight="1">
      <c r="A875" s="9" t="s">
        <v>1747</v>
      </c>
      <c r="B875" s="107" t="s">
        <v>1748</v>
      </c>
    </row>
    <row r="876" spans="1:2" s="8" customFormat="1" ht="25.5" customHeight="1">
      <c r="A876" s="9" t="s">
        <v>1749</v>
      </c>
      <c r="B876" s="107" t="s">
        <v>1750</v>
      </c>
    </row>
    <row r="877" spans="1:2" s="8" customFormat="1" ht="25.5" customHeight="1">
      <c r="A877" s="9" t="s">
        <v>1751</v>
      </c>
      <c r="B877" s="107" t="s">
        <v>1752</v>
      </c>
    </row>
    <row r="878" spans="1:2" s="8" customFormat="1" ht="25.5" customHeight="1">
      <c r="A878" s="9" t="s">
        <v>1753</v>
      </c>
      <c r="B878" s="107" t="s">
        <v>1754</v>
      </c>
    </row>
    <row r="879" spans="1:2" s="8" customFormat="1" ht="25.5" customHeight="1">
      <c r="A879" s="9" t="s">
        <v>1755</v>
      </c>
      <c r="B879" s="107" t="s">
        <v>1756</v>
      </c>
    </row>
    <row r="880" spans="1:2" s="8" customFormat="1" ht="25.5" customHeight="1">
      <c r="A880" s="9" t="s">
        <v>1757</v>
      </c>
      <c r="B880" s="107" t="s">
        <v>1758</v>
      </c>
    </row>
    <row r="881" spans="1:2" s="8" customFormat="1" ht="25.5" customHeight="1">
      <c r="A881" s="9" t="s">
        <v>1759</v>
      </c>
      <c r="B881" s="107" t="s">
        <v>1760</v>
      </c>
    </row>
    <row r="882" spans="1:2" s="8" customFormat="1" ht="25.5" customHeight="1">
      <c r="A882" s="9" t="s">
        <v>1761</v>
      </c>
      <c r="B882" s="107" t="s">
        <v>1762</v>
      </c>
    </row>
    <row r="883" spans="1:2" s="8" customFormat="1" ht="25.5" customHeight="1">
      <c r="A883" s="9" t="s">
        <v>1763</v>
      </c>
      <c r="B883" s="107" t="s">
        <v>1764</v>
      </c>
    </row>
    <row r="884" spans="1:2" s="8" customFormat="1" ht="25.5" customHeight="1">
      <c r="A884" s="9" t="s">
        <v>1765</v>
      </c>
      <c r="B884" s="107" t="s">
        <v>1766</v>
      </c>
    </row>
    <row r="885" spans="1:2" s="8" customFormat="1" ht="25.5" customHeight="1">
      <c r="A885" s="9" t="s">
        <v>1767</v>
      </c>
      <c r="B885" s="107" t="s">
        <v>1768</v>
      </c>
    </row>
    <row r="886" spans="1:2" s="8" customFormat="1" ht="25.5" customHeight="1">
      <c r="A886" s="9" t="s">
        <v>1769</v>
      </c>
      <c r="B886" s="107" t="s">
        <v>1770</v>
      </c>
    </row>
    <row r="887" spans="1:2" s="8" customFormat="1" ht="25.5" customHeight="1">
      <c r="A887" s="9" t="s">
        <v>1771</v>
      </c>
      <c r="B887" s="107" t="s">
        <v>1772</v>
      </c>
    </row>
    <row r="888" spans="1:2" s="8" customFormat="1" ht="25.5" customHeight="1">
      <c r="A888" s="9" t="s">
        <v>1773</v>
      </c>
      <c r="B888" s="107" t="s">
        <v>1774</v>
      </c>
    </row>
    <row r="889" spans="1:2" s="8" customFormat="1" ht="25.5" customHeight="1">
      <c r="A889" s="9" t="s">
        <v>1775</v>
      </c>
      <c r="B889" s="107" t="s">
        <v>1776</v>
      </c>
    </row>
    <row r="890" spans="1:2" s="8" customFormat="1" ht="25.5" customHeight="1">
      <c r="A890" s="9" t="s">
        <v>1777</v>
      </c>
      <c r="B890" s="107" t="s">
        <v>1778</v>
      </c>
    </row>
    <row r="891" spans="1:2" s="8" customFormat="1" ht="25.5" customHeight="1">
      <c r="A891" s="9" t="s">
        <v>1779</v>
      </c>
      <c r="B891" s="107" t="s">
        <v>1780</v>
      </c>
    </row>
    <row r="892" spans="1:2" s="8" customFormat="1" ht="25.5" customHeight="1">
      <c r="A892" s="9" t="s">
        <v>1781</v>
      </c>
      <c r="B892" s="107" t="s">
        <v>1782</v>
      </c>
    </row>
    <row r="893" spans="1:2" s="8" customFormat="1" ht="25.5" customHeight="1">
      <c r="A893" s="9" t="s">
        <v>1783</v>
      </c>
      <c r="B893" s="107" t="s">
        <v>1784</v>
      </c>
    </row>
    <row r="894" spans="1:2" s="8" customFormat="1" ht="25.5" customHeight="1">
      <c r="A894" s="9" t="s">
        <v>1785</v>
      </c>
      <c r="B894" s="107" t="s">
        <v>1786</v>
      </c>
    </row>
    <row r="895" spans="1:2" s="8" customFormat="1" ht="25.5" customHeight="1">
      <c r="A895" s="9" t="s">
        <v>1787</v>
      </c>
      <c r="B895" s="107" t="s">
        <v>1788</v>
      </c>
    </row>
    <row r="896" spans="1:2" s="8" customFormat="1" ht="25.5" customHeight="1">
      <c r="A896" s="9" t="s">
        <v>1789</v>
      </c>
      <c r="B896" s="107" t="s">
        <v>1790</v>
      </c>
    </row>
    <row r="897" spans="1:2" s="8" customFormat="1" ht="25.5" customHeight="1">
      <c r="A897" s="9" t="s">
        <v>1791</v>
      </c>
      <c r="B897" s="107" t="s">
        <v>1792</v>
      </c>
    </row>
    <row r="898" spans="1:2" s="8" customFormat="1" ht="25.5" customHeight="1">
      <c r="A898" s="9" t="s">
        <v>1793</v>
      </c>
      <c r="B898" s="107" t="s">
        <v>1794</v>
      </c>
    </row>
    <row r="899" spans="1:2" s="8" customFormat="1" ht="25.5" customHeight="1">
      <c r="A899" s="9" t="s">
        <v>1795</v>
      </c>
      <c r="B899" s="107" t="s">
        <v>1796</v>
      </c>
    </row>
    <row r="900" spans="1:2" s="8" customFormat="1" ht="25.5" customHeight="1">
      <c r="A900" s="9" t="s">
        <v>1797</v>
      </c>
      <c r="B900" s="107" t="s">
        <v>1798</v>
      </c>
    </row>
    <row r="901" spans="1:2" s="8" customFormat="1" ht="25.5" customHeight="1">
      <c r="A901" s="9" t="s">
        <v>1799</v>
      </c>
      <c r="B901" s="107" t="s">
        <v>1800</v>
      </c>
    </row>
    <row r="902" spans="1:2" s="8" customFormat="1" ht="25.5" customHeight="1">
      <c r="A902" s="9" t="s">
        <v>1801</v>
      </c>
      <c r="B902" s="107" t="s">
        <v>1802</v>
      </c>
    </row>
    <row r="903" spans="1:2" s="8" customFormat="1" ht="25.5" customHeight="1">
      <c r="A903" s="9" t="s">
        <v>1803</v>
      </c>
      <c r="B903" s="107" t="s">
        <v>1804</v>
      </c>
    </row>
    <row r="904" spans="1:2" s="8" customFormat="1" ht="25.5" customHeight="1">
      <c r="A904" s="9" t="s">
        <v>1805</v>
      </c>
      <c r="B904" s="107" t="s">
        <v>1806</v>
      </c>
    </row>
    <row r="905" spans="1:2" s="8" customFormat="1" ht="25.5" customHeight="1">
      <c r="A905" s="9" t="s">
        <v>1807</v>
      </c>
      <c r="B905" s="107" t="s">
        <v>1808</v>
      </c>
    </row>
    <row r="906" spans="1:2" s="8" customFormat="1" ht="25.5" customHeight="1">
      <c r="A906" s="9" t="s">
        <v>1809</v>
      </c>
      <c r="B906" s="107" t="s">
        <v>1810</v>
      </c>
    </row>
    <row r="907" spans="1:2" s="8" customFormat="1" ht="25.5" customHeight="1">
      <c r="A907" s="9" t="s">
        <v>1811</v>
      </c>
      <c r="B907" s="107" t="s">
        <v>1812</v>
      </c>
    </row>
    <row r="908" spans="1:2" s="8" customFormat="1" ht="25.5" customHeight="1">
      <c r="A908" s="9" t="s">
        <v>1813</v>
      </c>
      <c r="B908" s="107" t="s">
        <v>1814</v>
      </c>
    </row>
    <row r="909" spans="1:2" s="8" customFormat="1" ht="25.5" customHeight="1">
      <c r="A909" s="9" t="s">
        <v>1815</v>
      </c>
      <c r="B909" s="107" t="s">
        <v>1816</v>
      </c>
    </row>
    <row r="910" spans="1:2" s="8" customFormat="1" ht="25.5" customHeight="1">
      <c r="A910" s="9" t="s">
        <v>1817</v>
      </c>
      <c r="B910" s="107" t="s">
        <v>1818</v>
      </c>
    </row>
    <row r="911" spans="1:2" s="8" customFormat="1" ht="25.5" customHeight="1">
      <c r="A911" s="9" t="s">
        <v>1819</v>
      </c>
      <c r="B911" s="107" t="s">
        <v>1820</v>
      </c>
    </row>
    <row r="912" spans="1:2" s="8" customFormat="1" ht="25.5" customHeight="1">
      <c r="A912" s="9" t="s">
        <v>1821</v>
      </c>
      <c r="B912" s="107" t="s">
        <v>1822</v>
      </c>
    </row>
    <row r="913" spans="1:2" s="8" customFormat="1" ht="25.5" customHeight="1">
      <c r="A913" s="9" t="s">
        <v>1823</v>
      </c>
      <c r="B913" s="107" t="s">
        <v>1824</v>
      </c>
    </row>
    <row r="914" spans="1:2" s="8" customFormat="1" ht="25.5" customHeight="1">
      <c r="A914" s="9" t="s">
        <v>1825</v>
      </c>
      <c r="B914" s="107" t="s">
        <v>1826</v>
      </c>
    </row>
    <row r="915" spans="1:2" s="8" customFormat="1" ht="25.5" customHeight="1">
      <c r="A915" s="9" t="s">
        <v>1827</v>
      </c>
      <c r="B915" s="107" t="s">
        <v>1828</v>
      </c>
    </row>
    <row r="916" spans="1:2" s="8" customFormat="1" ht="25.5" customHeight="1">
      <c r="A916" s="9" t="s">
        <v>1829</v>
      </c>
      <c r="B916" s="107" t="s">
        <v>1830</v>
      </c>
    </row>
    <row r="917" spans="1:2" s="8" customFormat="1" ht="25.5" customHeight="1">
      <c r="A917" s="9" t="s">
        <v>1831</v>
      </c>
      <c r="B917" s="107" t="s">
        <v>1832</v>
      </c>
    </row>
    <row r="918" spans="1:2" s="8" customFormat="1" ht="25.5" customHeight="1">
      <c r="A918" s="9" t="s">
        <v>1833</v>
      </c>
      <c r="B918" s="107" t="s">
        <v>1834</v>
      </c>
    </row>
    <row r="919" spans="1:2" s="8" customFormat="1" ht="25.5" customHeight="1">
      <c r="A919" s="9" t="s">
        <v>1835</v>
      </c>
      <c r="B919" s="107" t="s">
        <v>1836</v>
      </c>
    </row>
    <row r="920" spans="1:2" s="8" customFormat="1" ht="25.5" customHeight="1">
      <c r="A920" s="9" t="s">
        <v>1837</v>
      </c>
      <c r="B920" s="107" t="s">
        <v>1838</v>
      </c>
    </row>
    <row r="921" spans="1:2" s="8" customFormat="1" ht="25.5" customHeight="1">
      <c r="A921" s="9" t="s">
        <v>1839</v>
      </c>
      <c r="B921" s="107" t="s">
        <v>1840</v>
      </c>
    </row>
    <row r="922" spans="1:2" s="8" customFormat="1" ht="25.5" customHeight="1">
      <c r="A922" s="9" t="s">
        <v>1841</v>
      </c>
      <c r="B922" s="107" t="s">
        <v>1842</v>
      </c>
    </row>
    <row r="923" spans="1:2" s="8" customFormat="1" ht="25.5" customHeight="1">
      <c r="A923" s="9" t="s">
        <v>1843</v>
      </c>
      <c r="B923" s="107" t="s">
        <v>1844</v>
      </c>
    </row>
    <row r="924" spans="1:2" s="8" customFormat="1" ht="25.5" customHeight="1">
      <c r="A924" s="9" t="s">
        <v>1845</v>
      </c>
      <c r="B924" s="107" t="s">
        <v>1846</v>
      </c>
    </row>
    <row r="925" spans="1:2" s="8" customFormat="1" ht="25.5" customHeight="1">
      <c r="A925" s="9" t="s">
        <v>1847</v>
      </c>
      <c r="B925" s="107" t="s">
        <v>1848</v>
      </c>
    </row>
    <row r="926" spans="1:2" s="8" customFormat="1" ht="25.5" customHeight="1">
      <c r="A926" s="9" t="s">
        <v>1849</v>
      </c>
      <c r="B926" s="107" t="s">
        <v>1850</v>
      </c>
    </row>
    <row r="927" spans="1:2" s="8" customFormat="1" ht="25.5" customHeight="1">
      <c r="A927" s="9" t="s">
        <v>1851</v>
      </c>
      <c r="B927" s="107" t="s">
        <v>1852</v>
      </c>
    </row>
    <row r="928" spans="1:2" s="8" customFormat="1" ht="25.5" customHeight="1">
      <c r="A928" s="9" t="s">
        <v>1853</v>
      </c>
      <c r="B928" s="107" t="s">
        <v>1854</v>
      </c>
    </row>
    <row r="929" spans="1:2" s="8" customFormat="1" ht="25.5" customHeight="1">
      <c r="A929" s="9" t="s">
        <v>1855</v>
      </c>
      <c r="B929" s="107" t="s">
        <v>1856</v>
      </c>
    </row>
    <row r="930" spans="1:2" s="8" customFormat="1" ht="25.5" customHeight="1">
      <c r="A930" s="9" t="s">
        <v>1857</v>
      </c>
      <c r="B930" s="107" t="s">
        <v>1858</v>
      </c>
    </row>
    <row r="931" spans="1:2" s="8" customFormat="1" ht="25.5" customHeight="1">
      <c r="A931" s="9" t="s">
        <v>1859</v>
      </c>
      <c r="B931" s="107" t="s">
        <v>1860</v>
      </c>
    </row>
    <row r="932" spans="1:2" s="8" customFormat="1" ht="25.5" customHeight="1">
      <c r="A932" s="9" t="s">
        <v>1861</v>
      </c>
      <c r="B932" s="107" t="s">
        <v>1862</v>
      </c>
    </row>
    <row r="933" spans="1:2" s="8" customFormat="1" ht="25.5" customHeight="1">
      <c r="A933" s="9" t="s">
        <v>1863</v>
      </c>
      <c r="B933" s="107" t="s">
        <v>1864</v>
      </c>
    </row>
    <row r="934" spans="1:2" s="8" customFormat="1" ht="25.5" customHeight="1">
      <c r="A934" s="9" t="s">
        <v>1865</v>
      </c>
      <c r="B934" s="107" t="s">
        <v>1866</v>
      </c>
    </row>
    <row r="935" spans="1:2" s="8" customFormat="1" ht="25.5" customHeight="1">
      <c r="A935" s="9" t="s">
        <v>1867</v>
      </c>
      <c r="B935" s="107" t="s">
        <v>1868</v>
      </c>
    </row>
    <row r="936" spans="1:2" s="8" customFormat="1" ht="25.5" customHeight="1">
      <c r="A936" s="9" t="s">
        <v>1869</v>
      </c>
      <c r="B936" s="107" t="s">
        <v>1870</v>
      </c>
    </row>
    <row r="937" spans="1:2" s="8" customFormat="1" ht="25.5" customHeight="1">
      <c r="A937" s="9" t="s">
        <v>1871</v>
      </c>
      <c r="B937" s="107" t="s">
        <v>1872</v>
      </c>
    </row>
    <row r="938" spans="1:2" s="8" customFormat="1" ht="25.5" customHeight="1">
      <c r="A938" s="9" t="s">
        <v>1873</v>
      </c>
      <c r="B938" s="107" t="s">
        <v>1874</v>
      </c>
    </row>
    <row r="939" spans="1:2" s="8" customFormat="1" ht="25.5" customHeight="1">
      <c r="A939" s="9" t="s">
        <v>1875</v>
      </c>
      <c r="B939" s="107" t="s">
        <v>1876</v>
      </c>
    </row>
    <row r="940" spans="1:2" s="8" customFormat="1" ht="25.5" customHeight="1">
      <c r="A940" s="9" t="s">
        <v>1877</v>
      </c>
      <c r="B940" s="107" t="s">
        <v>1878</v>
      </c>
    </row>
    <row r="941" spans="1:2" s="8" customFormat="1" ht="25.5" customHeight="1">
      <c r="A941" s="9" t="s">
        <v>1879</v>
      </c>
      <c r="B941" s="107" t="s">
        <v>1880</v>
      </c>
    </row>
    <row r="942" spans="1:2" s="8" customFormat="1" ht="25.5" customHeight="1">
      <c r="A942" s="9" t="s">
        <v>1881</v>
      </c>
      <c r="B942" s="107" t="s">
        <v>1882</v>
      </c>
    </row>
    <row r="943" spans="1:2" s="8" customFormat="1" ht="25.5" customHeight="1">
      <c r="A943" s="9" t="s">
        <v>1883</v>
      </c>
      <c r="B943" s="107" t="s">
        <v>1884</v>
      </c>
    </row>
    <row r="944" spans="1:2" s="8" customFormat="1" ht="25.5" customHeight="1">
      <c r="A944" s="9" t="s">
        <v>1885</v>
      </c>
      <c r="B944" s="107" t="s">
        <v>1886</v>
      </c>
    </row>
    <row r="945" spans="1:2" s="8" customFormat="1" ht="25.5" customHeight="1">
      <c r="A945" s="9" t="s">
        <v>1887</v>
      </c>
      <c r="B945" s="107" t="s">
        <v>1888</v>
      </c>
    </row>
    <row r="946" spans="1:2" s="8" customFormat="1" ht="25.5" customHeight="1">
      <c r="A946" s="9" t="s">
        <v>1889</v>
      </c>
      <c r="B946" s="107" t="s">
        <v>1890</v>
      </c>
    </row>
    <row r="947" spans="1:2" s="8" customFormat="1" ht="25.5" customHeight="1">
      <c r="A947" s="9" t="s">
        <v>1891</v>
      </c>
      <c r="B947" s="107" t="s">
        <v>1892</v>
      </c>
    </row>
    <row r="948" spans="1:2" s="8" customFormat="1" ht="25.5" customHeight="1">
      <c r="A948" s="9" t="s">
        <v>1893</v>
      </c>
      <c r="B948" s="107" t="s">
        <v>1894</v>
      </c>
    </row>
    <row r="949" spans="1:2" s="8" customFormat="1" ht="25.5" customHeight="1">
      <c r="A949" s="9" t="s">
        <v>1895</v>
      </c>
      <c r="B949" s="107" t="s">
        <v>1896</v>
      </c>
    </row>
    <row r="950" spans="1:2" s="8" customFormat="1" ht="25.5" customHeight="1">
      <c r="A950" s="9" t="s">
        <v>1897</v>
      </c>
      <c r="B950" s="107" t="s">
        <v>1898</v>
      </c>
    </row>
    <row r="951" spans="1:2" s="8" customFormat="1" ht="25.5" customHeight="1">
      <c r="A951" s="9" t="s">
        <v>1899</v>
      </c>
      <c r="B951" s="107" t="s">
        <v>1900</v>
      </c>
    </row>
    <row r="952" spans="1:2" s="8" customFormat="1" ht="25.5" customHeight="1">
      <c r="A952" s="9" t="s">
        <v>1901</v>
      </c>
      <c r="B952" s="107" t="s">
        <v>1902</v>
      </c>
    </row>
    <row r="953" spans="1:2" s="8" customFormat="1" ht="25.5" customHeight="1">
      <c r="A953" s="9" t="s">
        <v>1903</v>
      </c>
      <c r="B953" s="107" t="s">
        <v>1904</v>
      </c>
    </row>
    <row r="954" spans="1:2" s="8" customFormat="1" ht="25.5" customHeight="1">
      <c r="A954" s="9" t="s">
        <v>1905</v>
      </c>
      <c r="B954" s="107" t="s">
        <v>1906</v>
      </c>
    </row>
    <row r="955" spans="1:2" s="8" customFormat="1" ht="25.5" customHeight="1">
      <c r="A955" s="9" t="s">
        <v>1907</v>
      </c>
      <c r="B955" s="107" t="s">
        <v>1908</v>
      </c>
    </row>
    <row r="956" spans="1:2" s="8" customFormat="1" ht="25.5" customHeight="1">
      <c r="A956" s="9" t="s">
        <v>1909</v>
      </c>
      <c r="B956" s="107" t="s">
        <v>1910</v>
      </c>
    </row>
    <row r="957" spans="1:2" s="8" customFormat="1" ht="25.5" customHeight="1">
      <c r="A957" s="9" t="s">
        <v>1911</v>
      </c>
      <c r="B957" s="107" t="s">
        <v>1912</v>
      </c>
    </row>
    <row r="958" spans="1:2" s="8" customFormat="1" ht="25.5" customHeight="1">
      <c r="A958" s="9" t="s">
        <v>1913</v>
      </c>
      <c r="B958" s="107" t="s">
        <v>1914</v>
      </c>
    </row>
    <row r="959" spans="1:2" s="8" customFormat="1" ht="25.5" customHeight="1">
      <c r="A959" s="9" t="s">
        <v>1915</v>
      </c>
      <c r="B959" s="107" t="s">
        <v>1916</v>
      </c>
    </row>
    <row r="960" spans="1:2" s="8" customFormat="1" ht="25.5" customHeight="1">
      <c r="A960" s="9" t="s">
        <v>1917</v>
      </c>
      <c r="B960" s="107" t="s">
        <v>1918</v>
      </c>
    </row>
    <row r="961" spans="1:2" s="8" customFormat="1" ht="25.5" customHeight="1">
      <c r="A961" s="9" t="s">
        <v>1919</v>
      </c>
      <c r="B961" s="107" t="s">
        <v>1920</v>
      </c>
    </row>
    <row r="962" spans="1:2" s="8" customFormat="1" ht="25.5" customHeight="1">
      <c r="A962" s="9" t="s">
        <v>1921</v>
      </c>
      <c r="B962" s="107" t="s">
        <v>1922</v>
      </c>
    </row>
    <row r="963" spans="1:2" s="8" customFormat="1" ht="25.5" customHeight="1">
      <c r="A963" s="9" t="s">
        <v>1923</v>
      </c>
      <c r="B963" s="107" t="s">
        <v>1924</v>
      </c>
    </row>
    <row r="964" spans="1:2" s="8" customFormat="1" ht="25.5" customHeight="1">
      <c r="A964" s="9" t="s">
        <v>1925</v>
      </c>
      <c r="B964" s="107" t="s">
        <v>1926</v>
      </c>
    </row>
    <row r="965" spans="1:2" s="8" customFormat="1" ht="25.5" customHeight="1">
      <c r="A965" s="9" t="s">
        <v>1927</v>
      </c>
      <c r="B965" s="107" t="s">
        <v>1928</v>
      </c>
    </row>
    <row r="966" spans="1:2" s="8" customFormat="1" ht="25.5" customHeight="1">
      <c r="A966" s="9" t="s">
        <v>1929</v>
      </c>
      <c r="B966" s="107" t="s">
        <v>1930</v>
      </c>
    </row>
    <row r="967" spans="1:2" s="8" customFormat="1" ht="25.5" customHeight="1">
      <c r="A967" s="9" t="s">
        <v>1931</v>
      </c>
      <c r="B967" s="107" t="s">
        <v>1932</v>
      </c>
    </row>
    <row r="968" spans="1:2" s="8" customFormat="1" ht="25.5" customHeight="1">
      <c r="A968" s="9" t="s">
        <v>1933</v>
      </c>
      <c r="B968" s="107" t="s">
        <v>1934</v>
      </c>
    </row>
    <row r="969" spans="1:2" s="8" customFormat="1" ht="25.5" customHeight="1">
      <c r="A969" s="9" t="s">
        <v>1935</v>
      </c>
      <c r="B969" s="107" t="s">
        <v>1936</v>
      </c>
    </row>
    <row r="970" spans="1:2" s="8" customFormat="1" ht="25.5" customHeight="1">
      <c r="A970" s="9" t="s">
        <v>1937</v>
      </c>
      <c r="B970" s="107" t="s">
        <v>1938</v>
      </c>
    </row>
    <row r="971" spans="1:2" s="8" customFormat="1" ht="25.5" customHeight="1">
      <c r="A971" s="9" t="s">
        <v>1939</v>
      </c>
      <c r="B971" s="107" t="s">
        <v>1940</v>
      </c>
    </row>
    <row r="972" spans="1:2" s="8" customFormat="1" ht="25.5" customHeight="1">
      <c r="A972" s="9" t="s">
        <v>1941</v>
      </c>
      <c r="B972" s="107" t="s">
        <v>1942</v>
      </c>
    </row>
    <row r="973" spans="1:2" s="8" customFormat="1" ht="25.5" customHeight="1">
      <c r="A973" s="9" t="s">
        <v>1943</v>
      </c>
      <c r="B973" s="107" t="s">
        <v>1944</v>
      </c>
    </row>
    <row r="974" spans="1:2" s="8" customFormat="1" ht="25.5" customHeight="1">
      <c r="A974" s="9" t="s">
        <v>1945</v>
      </c>
      <c r="B974" s="107" t="s">
        <v>1946</v>
      </c>
    </row>
    <row r="975" spans="1:2" s="8" customFormat="1" ht="25.5" customHeight="1">
      <c r="A975" s="9" t="s">
        <v>1947</v>
      </c>
      <c r="B975" s="107" t="s">
        <v>1948</v>
      </c>
    </row>
    <row r="976" spans="1:2" s="8" customFormat="1" ht="25.5" customHeight="1">
      <c r="A976" s="9" t="s">
        <v>1949</v>
      </c>
      <c r="B976" s="107" t="s">
        <v>1950</v>
      </c>
    </row>
    <row r="977" spans="1:2" s="8" customFormat="1" ht="25.5" customHeight="1">
      <c r="A977" s="9" t="s">
        <v>1951</v>
      </c>
      <c r="B977" s="107" t="s">
        <v>1952</v>
      </c>
    </row>
    <row r="978" spans="1:2" s="8" customFormat="1" ht="25.5" customHeight="1">
      <c r="A978" s="9" t="s">
        <v>1953</v>
      </c>
      <c r="B978" s="107" t="s">
        <v>1954</v>
      </c>
    </row>
    <row r="979" spans="1:2" s="8" customFormat="1" ht="25.5" customHeight="1">
      <c r="A979" s="9" t="s">
        <v>1955</v>
      </c>
      <c r="B979" s="107" t="s">
        <v>1956</v>
      </c>
    </row>
    <row r="980" spans="1:2" s="8" customFormat="1" ht="25.5" customHeight="1">
      <c r="A980" s="9" t="s">
        <v>1957</v>
      </c>
      <c r="B980" s="107" t="s">
        <v>1958</v>
      </c>
    </row>
    <row r="981" spans="1:2" s="8" customFormat="1" ht="25.5" customHeight="1">
      <c r="A981" s="9" t="s">
        <v>1959</v>
      </c>
      <c r="B981" s="107" t="s">
        <v>1960</v>
      </c>
    </row>
    <row r="982" spans="1:2" s="8" customFormat="1" ht="25.5" customHeight="1">
      <c r="A982" s="9" t="s">
        <v>1961</v>
      </c>
      <c r="B982" s="107" t="s">
        <v>1962</v>
      </c>
    </row>
    <row r="983" spans="1:2" s="8" customFormat="1" ht="25.5" customHeight="1">
      <c r="A983" s="9" t="s">
        <v>1963</v>
      </c>
      <c r="B983" s="107" t="s">
        <v>1964</v>
      </c>
    </row>
    <row r="984" spans="1:2" s="8" customFormat="1" ht="25.5" customHeight="1">
      <c r="A984" s="9" t="s">
        <v>1965</v>
      </c>
      <c r="B984" s="107" t="s">
        <v>1966</v>
      </c>
    </row>
    <row r="985" spans="1:2" s="8" customFormat="1" ht="25.5" customHeight="1">
      <c r="A985" s="9" t="s">
        <v>1967</v>
      </c>
      <c r="B985" s="107" t="s">
        <v>1968</v>
      </c>
    </row>
    <row r="986" spans="1:2" s="8" customFormat="1" ht="25.5" customHeight="1">
      <c r="A986" s="9" t="s">
        <v>1969</v>
      </c>
      <c r="B986" s="107" t="s">
        <v>1970</v>
      </c>
    </row>
    <row r="987" spans="1:2" s="8" customFormat="1" ht="25.5" customHeight="1">
      <c r="A987" s="9" t="s">
        <v>1971</v>
      </c>
      <c r="B987" s="107" t="s">
        <v>1972</v>
      </c>
    </row>
    <row r="988" spans="1:2" s="8" customFormat="1" ht="25.5" customHeight="1">
      <c r="A988" s="9" t="s">
        <v>1973</v>
      </c>
      <c r="B988" s="107" t="s">
        <v>1974</v>
      </c>
    </row>
    <row r="989" spans="1:2" s="8" customFormat="1" ht="25.5" customHeight="1">
      <c r="A989" s="9" t="s">
        <v>1975</v>
      </c>
      <c r="B989" s="107" t="s">
        <v>1976</v>
      </c>
    </row>
    <row r="990" spans="1:2" s="8" customFormat="1" ht="25.5" customHeight="1">
      <c r="A990" s="9" t="s">
        <v>1977</v>
      </c>
      <c r="B990" s="107" t="s">
        <v>1978</v>
      </c>
    </row>
    <row r="991" spans="1:2" s="8" customFormat="1" ht="25.5" customHeight="1">
      <c r="A991" s="9" t="s">
        <v>1979</v>
      </c>
      <c r="B991" s="107" t="s">
        <v>1980</v>
      </c>
    </row>
    <row r="992" spans="1:2" s="8" customFormat="1" ht="25.5" customHeight="1">
      <c r="A992" s="9" t="s">
        <v>1981</v>
      </c>
      <c r="B992" s="107" t="s">
        <v>1982</v>
      </c>
    </row>
    <row r="993" spans="1:2" s="8" customFormat="1" ht="25.5" customHeight="1">
      <c r="A993" s="9" t="s">
        <v>1983</v>
      </c>
      <c r="B993" s="107" t="s">
        <v>1984</v>
      </c>
    </row>
    <row r="994" spans="1:2" s="8" customFormat="1" ht="25.5" customHeight="1">
      <c r="A994" s="9" t="s">
        <v>1985</v>
      </c>
      <c r="B994" s="107" t="s">
        <v>1986</v>
      </c>
    </row>
    <row r="995" spans="1:2" s="8" customFormat="1" ht="25.5" customHeight="1">
      <c r="A995" s="9" t="s">
        <v>1987</v>
      </c>
      <c r="B995" s="107" t="s">
        <v>1988</v>
      </c>
    </row>
    <row r="996" spans="1:2" s="8" customFormat="1" ht="25.5" customHeight="1">
      <c r="A996" s="9" t="s">
        <v>1989</v>
      </c>
      <c r="B996" s="107" t="s">
        <v>1990</v>
      </c>
    </row>
    <row r="997" spans="1:2" s="8" customFormat="1" ht="25.5" customHeight="1">
      <c r="A997" s="9" t="s">
        <v>1991</v>
      </c>
      <c r="B997" s="107" t="s">
        <v>1992</v>
      </c>
    </row>
    <row r="998" spans="1:2" s="8" customFormat="1" ht="25.5" customHeight="1">
      <c r="A998" s="9" t="s">
        <v>1993</v>
      </c>
      <c r="B998" s="107" t="s">
        <v>1994</v>
      </c>
    </row>
    <row r="999" spans="1:2" s="8" customFormat="1" ht="25.5" customHeight="1">
      <c r="A999" s="9" t="s">
        <v>1995</v>
      </c>
      <c r="B999" s="107" t="s">
        <v>1996</v>
      </c>
    </row>
    <row r="1000" spans="1:2" s="8" customFormat="1" ht="25.5" customHeight="1">
      <c r="A1000" s="9" t="s">
        <v>1997</v>
      </c>
      <c r="B1000" s="107" t="s">
        <v>1998</v>
      </c>
    </row>
    <row r="1001" spans="1:2" s="8" customFormat="1" ht="25.5" customHeight="1">
      <c r="A1001" s="9" t="s">
        <v>1999</v>
      </c>
      <c r="B1001" s="107" t="s">
        <v>2000</v>
      </c>
    </row>
    <row r="1002" spans="1:2" s="8" customFormat="1" ht="25.5" customHeight="1">
      <c r="A1002" s="9" t="s">
        <v>2001</v>
      </c>
      <c r="B1002" s="107" t="s">
        <v>2002</v>
      </c>
    </row>
    <row r="1003" spans="1:2" s="8" customFormat="1" ht="25.5" customHeight="1">
      <c r="A1003" s="9" t="s">
        <v>2003</v>
      </c>
      <c r="B1003" s="107" t="s">
        <v>2004</v>
      </c>
    </row>
    <row r="1004" spans="1:2" s="8" customFormat="1" ht="25.5" customHeight="1">
      <c r="A1004" s="9" t="s">
        <v>2005</v>
      </c>
      <c r="B1004" s="107" t="s">
        <v>2006</v>
      </c>
    </row>
    <row r="1005" spans="1:2" s="8" customFormat="1" ht="25.5" customHeight="1">
      <c r="A1005" s="9" t="s">
        <v>2007</v>
      </c>
      <c r="B1005" s="107" t="s">
        <v>2008</v>
      </c>
    </row>
    <row r="1006" spans="1:2" s="8" customFormat="1" ht="25.5" customHeight="1">
      <c r="A1006" s="9" t="s">
        <v>2009</v>
      </c>
      <c r="B1006" s="107" t="s">
        <v>2010</v>
      </c>
    </row>
    <row r="1007" spans="1:2" s="8" customFormat="1" ht="25.5" customHeight="1">
      <c r="A1007" s="9" t="s">
        <v>2011</v>
      </c>
      <c r="B1007" s="107" t="s">
        <v>2012</v>
      </c>
    </row>
    <row r="1008" spans="1:2" s="8" customFormat="1" ht="25.5" customHeight="1">
      <c r="A1008" s="9" t="s">
        <v>2013</v>
      </c>
      <c r="B1008" s="107" t="s">
        <v>2014</v>
      </c>
    </row>
    <row r="1009" spans="1:2" s="8" customFormat="1" ht="25.5" customHeight="1">
      <c r="A1009" s="9" t="s">
        <v>2015</v>
      </c>
      <c r="B1009" s="107" t="s">
        <v>2016</v>
      </c>
    </row>
    <row r="1010" spans="1:2" s="8" customFormat="1" ht="25.5" customHeight="1">
      <c r="A1010" s="9" t="s">
        <v>2017</v>
      </c>
      <c r="B1010" s="107" t="s">
        <v>2018</v>
      </c>
    </row>
    <row r="1011" spans="1:2" s="8" customFormat="1" ht="25.5" customHeight="1">
      <c r="A1011" s="9" t="s">
        <v>2019</v>
      </c>
      <c r="B1011" s="107" t="s">
        <v>2020</v>
      </c>
    </row>
    <row r="1012" spans="1:2" s="8" customFormat="1" ht="25.5" customHeight="1">
      <c r="A1012" s="9" t="s">
        <v>2021</v>
      </c>
      <c r="B1012" s="107" t="s">
        <v>2022</v>
      </c>
    </row>
    <row r="1013" spans="1:2" s="8" customFormat="1" ht="25.5" customHeight="1">
      <c r="A1013" s="9" t="s">
        <v>2023</v>
      </c>
      <c r="B1013" s="107" t="s">
        <v>2024</v>
      </c>
    </row>
    <row r="1014" spans="1:2" s="8" customFormat="1" ht="25.5" customHeight="1">
      <c r="A1014" s="9" t="s">
        <v>2025</v>
      </c>
      <c r="B1014" s="107" t="s">
        <v>2026</v>
      </c>
    </row>
    <row r="1015" spans="1:2" s="8" customFormat="1" ht="25.5" customHeight="1">
      <c r="A1015" s="9" t="s">
        <v>2027</v>
      </c>
      <c r="B1015" s="107" t="s">
        <v>2028</v>
      </c>
    </row>
    <row r="1016" spans="1:2" s="8" customFormat="1" ht="25.5" customHeight="1">
      <c r="A1016" s="9" t="s">
        <v>2029</v>
      </c>
      <c r="B1016" s="107" t="s">
        <v>2030</v>
      </c>
    </row>
    <row r="1017" spans="1:2" s="8" customFormat="1" ht="25.5" customHeight="1">
      <c r="A1017" s="9" t="s">
        <v>2031</v>
      </c>
      <c r="B1017" s="107" t="s">
        <v>2032</v>
      </c>
    </row>
    <row r="1018" spans="1:2" s="8" customFormat="1" ht="25.5" customHeight="1">
      <c r="A1018" s="9" t="s">
        <v>2033</v>
      </c>
      <c r="B1018" s="107" t="s">
        <v>2034</v>
      </c>
    </row>
    <row r="1019" spans="1:2" s="8" customFormat="1" ht="25.5" customHeight="1">
      <c r="A1019" s="9" t="s">
        <v>2035</v>
      </c>
      <c r="B1019" s="107" t="s">
        <v>2036</v>
      </c>
    </row>
    <row r="1020" spans="1:2" s="8" customFormat="1" ht="25.5" customHeight="1">
      <c r="A1020" s="9" t="s">
        <v>2037</v>
      </c>
      <c r="B1020" s="107" t="s">
        <v>2038</v>
      </c>
    </row>
    <row r="1021" spans="1:2" s="8" customFormat="1" ht="25.5" customHeight="1">
      <c r="A1021" s="9" t="s">
        <v>2039</v>
      </c>
      <c r="B1021" s="107" t="s">
        <v>2040</v>
      </c>
    </row>
    <row r="1022" spans="1:2" s="8" customFormat="1" ht="25.5" customHeight="1">
      <c r="A1022" s="9" t="s">
        <v>2041</v>
      </c>
      <c r="B1022" s="107" t="s">
        <v>2042</v>
      </c>
    </row>
    <row r="1023" spans="1:2" s="8" customFormat="1" ht="25.5" customHeight="1">
      <c r="A1023" s="9" t="s">
        <v>2043</v>
      </c>
      <c r="B1023" s="107" t="s">
        <v>2044</v>
      </c>
    </row>
    <row r="1024" spans="1:2" s="8" customFormat="1" ht="25.5" customHeight="1">
      <c r="A1024" s="9" t="s">
        <v>2045</v>
      </c>
      <c r="B1024" s="107" t="s">
        <v>2046</v>
      </c>
    </row>
    <row r="1025" spans="1:2" s="8" customFormat="1" ht="25.5" customHeight="1">
      <c r="A1025" s="9" t="s">
        <v>2047</v>
      </c>
      <c r="B1025" s="107" t="s">
        <v>2048</v>
      </c>
    </row>
    <row r="1026" spans="1:2" s="8" customFormat="1" ht="25.5" customHeight="1">
      <c r="A1026" s="9" t="s">
        <v>2049</v>
      </c>
      <c r="B1026" s="107" t="s">
        <v>2050</v>
      </c>
    </row>
    <row r="1027" spans="1:2" s="8" customFormat="1" ht="25.5" customHeight="1">
      <c r="A1027" s="9" t="s">
        <v>2051</v>
      </c>
      <c r="B1027" s="107" t="s">
        <v>2052</v>
      </c>
    </row>
    <row r="1028" spans="1:2" s="8" customFormat="1" ht="25.5" customHeight="1">
      <c r="A1028" s="9" t="s">
        <v>2053</v>
      </c>
      <c r="B1028" s="107" t="s">
        <v>2054</v>
      </c>
    </row>
    <row r="1029" spans="1:2" s="8" customFormat="1" ht="25.5" customHeight="1">
      <c r="A1029" s="9" t="s">
        <v>2055</v>
      </c>
      <c r="B1029" s="107" t="s">
        <v>2056</v>
      </c>
    </row>
    <row r="1030" spans="1:2" s="8" customFormat="1" ht="25.5" customHeight="1">
      <c r="A1030" s="9" t="s">
        <v>2057</v>
      </c>
      <c r="B1030" s="107" t="s">
        <v>2058</v>
      </c>
    </row>
    <row r="1031" spans="1:2" s="8" customFormat="1" ht="25.5" customHeight="1">
      <c r="A1031" s="9" t="s">
        <v>2059</v>
      </c>
      <c r="B1031" s="107" t="s">
        <v>2060</v>
      </c>
    </row>
    <row r="1032" spans="1:2" s="8" customFormat="1" ht="25.5" customHeight="1">
      <c r="A1032" s="9" t="s">
        <v>2061</v>
      </c>
      <c r="B1032" s="107" t="s">
        <v>2062</v>
      </c>
    </row>
    <row r="1033" spans="1:2" s="8" customFormat="1" ht="25.5" customHeight="1">
      <c r="A1033" s="9" t="s">
        <v>2063</v>
      </c>
      <c r="B1033" s="107" t="s">
        <v>2064</v>
      </c>
    </row>
    <row r="1034" spans="1:2" s="8" customFormat="1" ht="25.5" customHeight="1">
      <c r="A1034" s="9" t="s">
        <v>2065</v>
      </c>
      <c r="B1034" s="107" t="s">
        <v>2066</v>
      </c>
    </row>
    <row r="1035" spans="1:2" s="8" customFormat="1" ht="25.5" customHeight="1">
      <c r="A1035" s="9" t="s">
        <v>2067</v>
      </c>
      <c r="B1035" s="107" t="s">
        <v>2068</v>
      </c>
    </row>
    <row r="1036" spans="1:2" s="8" customFormat="1" ht="25.5" customHeight="1">
      <c r="A1036" s="9" t="s">
        <v>2069</v>
      </c>
      <c r="B1036" s="107" t="s">
        <v>2070</v>
      </c>
    </row>
    <row r="1037" spans="1:2" s="8" customFormat="1" ht="25.5" customHeight="1">
      <c r="A1037" s="9" t="s">
        <v>2071</v>
      </c>
      <c r="B1037" s="107" t="s">
        <v>2072</v>
      </c>
    </row>
    <row r="1038" spans="1:2" s="8" customFormat="1" ht="25.5" customHeight="1">
      <c r="A1038" s="9" t="s">
        <v>2073</v>
      </c>
      <c r="B1038" s="107" t="s">
        <v>2074</v>
      </c>
    </row>
    <row r="1039" spans="1:2" s="8" customFormat="1" ht="25.5" customHeight="1">
      <c r="A1039" s="9" t="s">
        <v>2075</v>
      </c>
      <c r="B1039" s="107" t="s">
        <v>2076</v>
      </c>
    </row>
    <row r="1040" spans="1:2" s="8" customFormat="1" ht="25.5" customHeight="1">
      <c r="A1040" s="9" t="s">
        <v>2077</v>
      </c>
      <c r="B1040" s="107" t="s">
        <v>2078</v>
      </c>
    </row>
    <row r="1041" spans="1:2" s="8" customFormat="1" ht="25.5" customHeight="1">
      <c r="A1041" s="9" t="s">
        <v>2079</v>
      </c>
      <c r="B1041" s="107" t="s">
        <v>2080</v>
      </c>
    </row>
    <row r="1042" spans="1:2" s="8" customFormat="1" ht="25.5" customHeight="1">
      <c r="A1042" s="9" t="s">
        <v>2081</v>
      </c>
      <c r="B1042" s="107" t="s">
        <v>2082</v>
      </c>
    </row>
    <row r="1043" spans="1:2" s="8" customFormat="1" ht="25.5" customHeight="1">
      <c r="A1043" s="9" t="s">
        <v>2083</v>
      </c>
      <c r="B1043" s="107" t="s">
        <v>2084</v>
      </c>
    </row>
    <row r="1044" spans="1:2" s="8" customFormat="1" ht="25.5" customHeight="1">
      <c r="A1044" s="9" t="s">
        <v>2085</v>
      </c>
      <c r="B1044" s="107" t="s">
        <v>2086</v>
      </c>
    </row>
    <row r="1045" spans="1:2" s="8" customFormat="1" ht="25.5" customHeight="1">
      <c r="A1045" s="9" t="s">
        <v>2087</v>
      </c>
      <c r="B1045" s="107" t="s">
        <v>2088</v>
      </c>
    </row>
    <row r="1046" spans="1:2" s="8" customFormat="1" ht="25.5" customHeight="1">
      <c r="A1046" s="9" t="s">
        <v>2089</v>
      </c>
      <c r="B1046" s="107" t="s">
        <v>2090</v>
      </c>
    </row>
    <row r="1047" spans="1:2" s="8" customFormat="1" ht="25.5" customHeight="1">
      <c r="A1047" s="9" t="s">
        <v>2091</v>
      </c>
      <c r="B1047" s="107" t="s">
        <v>2092</v>
      </c>
    </row>
    <row r="1048" spans="1:2" s="8" customFormat="1" ht="25.5" customHeight="1">
      <c r="A1048" s="9" t="s">
        <v>2093</v>
      </c>
      <c r="B1048" s="107" t="s">
        <v>2094</v>
      </c>
    </row>
    <row r="1049" spans="1:2" s="8" customFormat="1" ht="25.5" customHeight="1">
      <c r="A1049" s="9" t="s">
        <v>2095</v>
      </c>
      <c r="B1049" s="107" t="s">
        <v>2096</v>
      </c>
    </row>
    <row r="1050" spans="1:2" s="8" customFormat="1" ht="25.5" customHeight="1">
      <c r="A1050" s="9" t="s">
        <v>2097</v>
      </c>
      <c r="B1050" s="107" t="s">
        <v>2098</v>
      </c>
    </row>
    <row r="1051" spans="1:2" s="8" customFormat="1" ht="25.5" customHeight="1">
      <c r="A1051" s="9" t="s">
        <v>2099</v>
      </c>
      <c r="B1051" s="107" t="s">
        <v>2100</v>
      </c>
    </row>
    <row r="1052" spans="1:2" s="8" customFormat="1" ht="25.5" customHeight="1">
      <c r="A1052" s="9" t="s">
        <v>2101</v>
      </c>
      <c r="B1052" s="107" t="s">
        <v>2102</v>
      </c>
    </row>
    <row r="1053" spans="1:2" s="8" customFormat="1" ht="25.5" customHeight="1">
      <c r="A1053" s="9" t="s">
        <v>2103</v>
      </c>
      <c r="B1053" s="107" t="s">
        <v>2104</v>
      </c>
    </row>
    <row r="1054" spans="1:2" s="8" customFormat="1" ht="25.5" customHeight="1">
      <c r="A1054" s="9" t="s">
        <v>2105</v>
      </c>
      <c r="B1054" s="107" t="s">
        <v>2106</v>
      </c>
    </row>
    <row r="1055" spans="1:2" s="8" customFormat="1" ht="25.5" customHeight="1">
      <c r="A1055" s="9" t="s">
        <v>2107</v>
      </c>
      <c r="B1055" s="107" t="s">
        <v>2108</v>
      </c>
    </row>
    <row r="1056" spans="1:2" s="8" customFormat="1" ht="25.5" customHeight="1">
      <c r="A1056" s="9" t="s">
        <v>2109</v>
      </c>
      <c r="B1056" s="107" t="s">
        <v>2110</v>
      </c>
    </row>
    <row r="1057" spans="1:2" s="8" customFormat="1" ht="25.5" customHeight="1">
      <c r="A1057" s="9" t="s">
        <v>2111</v>
      </c>
      <c r="B1057" s="107" t="s">
        <v>2112</v>
      </c>
    </row>
    <row r="1058" spans="1:2" s="8" customFormat="1" ht="25.5" customHeight="1">
      <c r="A1058" s="9" t="s">
        <v>2113</v>
      </c>
      <c r="B1058" s="107" t="s">
        <v>2114</v>
      </c>
    </row>
    <row r="1059" spans="1:2" s="8" customFormat="1" ht="25.5" customHeight="1">
      <c r="A1059" s="9" t="s">
        <v>2115</v>
      </c>
      <c r="B1059" s="107" t="s">
        <v>2116</v>
      </c>
    </row>
    <row r="1060" spans="1:2" s="8" customFormat="1" ht="25.5" customHeight="1">
      <c r="A1060" s="9" t="s">
        <v>2117</v>
      </c>
      <c r="B1060" s="107" t="s">
        <v>2118</v>
      </c>
    </row>
    <row r="1061" spans="1:2" s="8" customFormat="1" ht="25.5" customHeight="1">
      <c r="A1061" s="9" t="s">
        <v>2119</v>
      </c>
      <c r="B1061" s="107" t="s">
        <v>2120</v>
      </c>
    </row>
    <row r="1062" spans="1:2" s="8" customFormat="1" ht="25.5" customHeight="1">
      <c r="A1062" s="9" t="s">
        <v>2121</v>
      </c>
      <c r="B1062" s="107" t="s">
        <v>2122</v>
      </c>
    </row>
    <row r="1063" spans="1:2" s="8" customFormat="1" ht="25.5" customHeight="1">
      <c r="A1063" s="9" t="s">
        <v>2123</v>
      </c>
      <c r="B1063" s="107" t="s">
        <v>2124</v>
      </c>
    </row>
    <row r="1064" spans="1:2" s="8" customFormat="1" ht="25.5" customHeight="1">
      <c r="A1064" s="9" t="s">
        <v>2125</v>
      </c>
      <c r="B1064" s="107" t="s">
        <v>2126</v>
      </c>
    </row>
    <row r="1065" spans="1:2" s="8" customFormat="1" ht="25.5" customHeight="1">
      <c r="A1065" s="9" t="s">
        <v>2127</v>
      </c>
      <c r="B1065" s="107" t="s">
        <v>2128</v>
      </c>
    </row>
    <row r="1066" spans="1:2" s="8" customFormat="1" ht="25.5" customHeight="1">
      <c r="A1066" s="9" t="s">
        <v>2129</v>
      </c>
      <c r="B1066" s="107" t="s">
        <v>2130</v>
      </c>
    </row>
    <row r="1067" spans="1:2" s="8" customFormat="1" ht="25.5" customHeight="1">
      <c r="A1067" s="9" t="s">
        <v>2131</v>
      </c>
      <c r="B1067" s="107" t="s">
        <v>2132</v>
      </c>
    </row>
    <row r="1068" spans="1:2" s="8" customFormat="1" ht="25.5" customHeight="1">
      <c r="A1068" s="9" t="s">
        <v>2133</v>
      </c>
      <c r="B1068" s="107" t="s">
        <v>2134</v>
      </c>
    </row>
    <row r="1069" spans="1:2" s="8" customFormat="1" ht="25.5" customHeight="1">
      <c r="A1069" s="9" t="s">
        <v>2135</v>
      </c>
      <c r="B1069" s="107" t="s">
        <v>2136</v>
      </c>
    </row>
    <row r="1070" spans="1:2" s="8" customFormat="1" ht="25.5" customHeight="1">
      <c r="A1070" s="9" t="s">
        <v>2137</v>
      </c>
      <c r="B1070" s="107" t="s">
        <v>2138</v>
      </c>
    </row>
    <row r="1071" spans="1:2" s="8" customFormat="1" ht="25.5" customHeight="1">
      <c r="A1071" s="9" t="s">
        <v>2139</v>
      </c>
      <c r="B1071" s="107" t="s">
        <v>2140</v>
      </c>
    </row>
    <row r="1072" spans="1:2" s="8" customFormat="1" ht="25.5" customHeight="1">
      <c r="A1072" s="9" t="s">
        <v>2141</v>
      </c>
      <c r="B1072" s="107" t="s">
        <v>2142</v>
      </c>
    </row>
    <row r="1073" spans="1:2" s="8" customFormat="1" ht="25.5" customHeight="1">
      <c r="A1073" s="9" t="s">
        <v>2143</v>
      </c>
      <c r="B1073" s="107" t="s">
        <v>2144</v>
      </c>
    </row>
    <row r="1074" spans="1:2" s="8" customFormat="1" ht="25.5" customHeight="1">
      <c r="A1074" s="9" t="s">
        <v>2145</v>
      </c>
      <c r="B1074" s="107" t="s">
        <v>2146</v>
      </c>
    </row>
    <row r="1075" spans="1:2" s="8" customFormat="1" ht="25.5" customHeight="1">
      <c r="A1075" s="9" t="s">
        <v>2147</v>
      </c>
      <c r="B1075" s="107" t="s">
        <v>2148</v>
      </c>
    </row>
    <row r="1076" spans="1:2" s="8" customFormat="1" ht="25.5" customHeight="1">
      <c r="A1076" s="9" t="s">
        <v>2149</v>
      </c>
      <c r="B1076" s="107" t="s">
        <v>2150</v>
      </c>
    </row>
    <row r="1077" spans="1:2" s="8" customFormat="1" ht="25.5" customHeight="1">
      <c r="A1077" s="9" t="s">
        <v>2151</v>
      </c>
      <c r="B1077" s="107" t="s">
        <v>2152</v>
      </c>
    </row>
    <row r="1078" spans="1:2" s="8" customFormat="1" ht="25.5" customHeight="1">
      <c r="A1078" s="9" t="s">
        <v>2153</v>
      </c>
      <c r="B1078" s="107" t="s">
        <v>2154</v>
      </c>
    </row>
    <row r="1079" spans="1:2" s="8" customFormat="1" ht="25.5" customHeight="1">
      <c r="A1079" s="9" t="s">
        <v>2155</v>
      </c>
      <c r="B1079" s="107" t="s">
        <v>2156</v>
      </c>
    </row>
    <row r="1080" spans="1:2" s="8" customFormat="1" ht="25.5" customHeight="1">
      <c r="A1080" s="9" t="s">
        <v>2157</v>
      </c>
      <c r="B1080" s="107" t="s">
        <v>2158</v>
      </c>
    </row>
    <row r="1081" spans="1:2" s="8" customFormat="1" ht="25.5" customHeight="1">
      <c r="A1081" s="9" t="s">
        <v>2159</v>
      </c>
      <c r="B1081" s="107" t="s">
        <v>2160</v>
      </c>
    </row>
    <row r="1082" spans="1:2" s="8" customFormat="1" ht="25.5" customHeight="1">
      <c r="A1082" s="9" t="s">
        <v>2161</v>
      </c>
      <c r="B1082" s="107" t="s">
        <v>2162</v>
      </c>
    </row>
    <row r="1083" spans="1:2" s="8" customFormat="1" ht="25.5" customHeight="1">
      <c r="A1083" s="9" t="s">
        <v>2163</v>
      </c>
      <c r="B1083" s="107" t="s">
        <v>2164</v>
      </c>
    </row>
    <row r="1084" spans="1:2" s="8" customFormat="1" ht="25.5" customHeight="1">
      <c r="A1084" s="9" t="s">
        <v>2165</v>
      </c>
      <c r="B1084" s="107" t="s">
        <v>2166</v>
      </c>
    </row>
    <row r="1085" spans="1:2" s="8" customFormat="1" ht="25.5" customHeight="1">
      <c r="A1085" s="9" t="s">
        <v>2167</v>
      </c>
      <c r="B1085" s="107" t="s">
        <v>2168</v>
      </c>
    </row>
    <row r="1086" spans="1:2" s="8" customFormat="1" ht="25.5" customHeight="1">
      <c r="A1086" s="9" t="s">
        <v>2169</v>
      </c>
      <c r="B1086" s="107" t="s">
        <v>2170</v>
      </c>
    </row>
    <row r="1087" spans="1:2" s="8" customFormat="1" ht="25.5" customHeight="1">
      <c r="A1087" s="9" t="s">
        <v>2171</v>
      </c>
      <c r="B1087" s="107" t="s">
        <v>2172</v>
      </c>
    </row>
    <row r="1088" spans="1:2" s="8" customFormat="1" ht="25.5" customHeight="1">
      <c r="A1088" s="9" t="s">
        <v>2173</v>
      </c>
      <c r="B1088" s="107" t="s">
        <v>2174</v>
      </c>
    </row>
    <row r="1089" spans="1:2" s="8" customFormat="1" ht="25.5" customHeight="1">
      <c r="A1089" s="9" t="s">
        <v>2175</v>
      </c>
      <c r="B1089" s="107" t="s">
        <v>2176</v>
      </c>
    </row>
    <row r="1090" spans="1:2" s="8" customFormat="1" ht="25.5" customHeight="1">
      <c r="A1090" s="9" t="s">
        <v>2177</v>
      </c>
      <c r="B1090" s="107" t="s">
        <v>2178</v>
      </c>
    </row>
    <row r="1091" spans="1:2" s="8" customFormat="1" ht="25.5" customHeight="1">
      <c r="A1091" s="9" t="s">
        <v>2179</v>
      </c>
      <c r="B1091" s="107" t="s">
        <v>2180</v>
      </c>
    </row>
    <row r="1092" spans="1:2" s="8" customFormat="1" ht="25.5" customHeight="1">
      <c r="A1092" s="9" t="s">
        <v>2181</v>
      </c>
      <c r="B1092" s="107" t="s">
        <v>2182</v>
      </c>
    </row>
    <row r="1093" spans="1:2" s="8" customFormat="1" ht="25.5" customHeight="1">
      <c r="A1093" s="9" t="s">
        <v>2183</v>
      </c>
      <c r="B1093" s="107" t="s">
        <v>2184</v>
      </c>
    </row>
    <row r="1094" spans="1:2" s="8" customFormat="1" ht="25.5" customHeight="1">
      <c r="A1094" s="9" t="s">
        <v>2185</v>
      </c>
      <c r="B1094" s="107" t="s">
        <v>2186</v>
      </c>
    </row>
    <row r="1095" spans="1:2" s="8" customFormat="1" ht="25.5" customHeight="1">
      <c r="A1095" s="9" t="s">
        <v>2187</v>
      </c>
      <c r="B1095" s="107" t="s">
        <v>2188</v>
      </c>
    </row>
    <row r="1096" spans="1:2" s="8" customFormat="1" ht="25.5" customHeight="1">
      <c r="A1096" s="9" t="s">
        <v>2189</v>
      </c>
      <c r="B1096" s="107" t="s">
        <v>2190</v>
      </c>
    </row>
    <row r="1097" spans="1:2" s="8" customFormat="1" ht="25.5" customHeight="1">
      <c r="A1097" s="9" t="s">
        <v>2191</v>
      </c>
      <c r="B1097" s="107" t="s">
        <v>2192</v>
      </c>
    </row>
    <row r="1098" spans="1:2" s="8" customFormat="1" ht="25.5" customHeight="1">
      <c r="A1098" s="9" t="s">
        <v>2193</v>
      </c>
      <c r="B1098" s="107" t="s">
        <v>2194</v>
      </c>
    </row>
    <row r="1099" spans="1:2" s="8" customFormat="1" ht="25.5" customHeight="1">
      <c r="A1099" s="9" t="s">
        <v>2195</v>
      </c>
      <c r="B1099" s="107" t="s">
        <v>2196</v>
      </c>
    </row>
    <row r="1100" spans="1:2" s="8" customFormat="1" ht="25.5" customHeight="1">
      <c r="A1100" s="9" t="s">
        <v>2197</v>
      </c>
      <c r="B1100" s="107" t="s">
        <v>2198</v>
      </c>
    </row>
    <row r="1101" spans="1:2" s="8" customFormat="1" ht="25.5" customHeight="1">
      <c r="A1101" s="9" t="s">
        <v>2199</v>
      </c>
      <c r="B1101" s="107" t="s">
        <v>2200</v>
      </c>
    </row>
    <row r="1102" spans="1:2" s="8" customFormat="1" ht="25.5" customHeight="1">
      <c r="A1102" s="9" t="s">
        <v>2201</v>
      </c>
      <c r="B1102" s="107" t="s">
        <v>2202</v>
      </c>
    </row>
    <row r="1103" spans="1:2" s="8" customFormat="1" ht="25.5" customHeight="1">
      <c r="A1103" s="9" t="s">
        <v>2203</v>
      </c>
      <c r="B1103" s="107" t="s">
        <v>2204</v>
      </c>
    </row>
    <row r="1104" spans="1:2" s="8" customFormat="1" ht="25.5" customHeight="1">
      <c r="A1104" s="9" t="s">
        <v>2205</v>
      </c>
      <c r="B1104" s="107" t="s">
        <v>2206</v>
      </c>
    </row>
    <row r="1105" spans="1:2" s="8" customFormat="1" ht="25.5" customHeight="1">
      <c r="A1105" s="9" t="s">
        <v>2207</v>
      </c>
      <c r="B1105" s="107" t="s">
        <v>2208</v>
      </c>
    </row>
    <row r="1106" spans="1:2" s="8" customFormat="1" ht="25.5" customHeight="1">
      <c r="A1106" s="9" t="s">
        <v>2209</v>
      </c>
      <c r="B1106" s="107" t="s">
        <v>2210</v>
      </c>
    </row>
    <row r="1107" spans="1:2" s="8" customFormat="1" ht="25.5" customHeight="1">
      <c r="A1107" s="9" t="s">
        <v>2211</v>
      </c>
      <c r="B1107" s="107" t="s">
        <v>2212</v>
      </c>
    </row>
    <row r="1108" spans="1:2" s="8" customFormat="1" ht="25.5" customHeight="1">
      <c r="A1108" s="9" t="s">
        <v>2213</v>
      </c>
      <c r="B1108" s="107" t="s">
        <v>2214</v>
      </c>
    </row>
    <row r="1109" spans="1:2" s="8" customFormat="1" ht="25.5" customHeight="1">
      <c r="A1109" s="9" t="s">
        <v>2215</v>
      </c>
      <c r="B1109" s="107" t="s">
        <v>2216</v>
      </c>
    </row>
    <row r="1110" spans="1:2" s="8" customFormat="1" ht="25.5" customHeight="1">
      <c r="A1110" s="9" t="s">
        <v>2217</v>
      </c>
      <c r="B1110" s="107" t="s">
        <v>2218</v>
      </c>
    </row>
    <row r="1111" spans="1:2" s="8" customFormat="1" ht="25.5" customHeight="1">
      <c r="A1111" s="9" t="s">
        <v>2219</v>
      </c>
      <c r="B1111" s="107" t="s">
        <v>2220</v>
      </c>
    </row>
    <row r="1112" spans="1:2" s="8" customFormat="1" ht="25.5" customHeight="1">
      <c r="A1112" s="9" t="s">
        <v>2221</v>
      </c>
      <c r="B1112" s="107" t="s">
        <v>2222</v>
      </c>
    </row>
    <row r="1113" spans="1:2" s="8" customFormat="1" ht="25.5" customHeight="1">
      <c r="A1113" s="9" t="s">
        <v>2223</v>
      </c>
      <c r="B1113" s="107" t="s">
        <v>2224</v>
      </c>
    </row>
    <row r="1114" spans="1:2" s="8" customFormat="1" ht="25.5" customHeight="1">
      <c r="A1114" s="9" t="s">
        <v>2225</v>
      </c>
      <c r="B1114" s="107" t="s">
        <v>2226</v>
      </c>
    </row>
    <row r="1115" spans="1:2" s="8" customFormat="1" ht="25.5" customHeight="1">
      <c r="A1115" s="9" t="s">
        <v>2227</v>
      </c>
      <c r="B1115" s="107" t="s">
        <v>2228</v>
      </c>
    </row>
    <row r="1116" spans="1:2" s="8" customFormat="1" ht="25.5" customHeight="1">
      <c r="A1116" s="9" t="s">
        <v>2229</v>
      </c>
      <c r="B1116" s="107" t="s">
        <v>2230</v>
      </c>
    </row>
    <row r="1117" spans="1:2" s="8" customFormat="1" ht="25.5" customHeight="1">
      <c r="A1117" s="9" t="s">
        <v>2231</v>
      </c>
      <c r="B1117" s="107" t="s">
        <v>2232</v>
      </c>
    </row>
    <row r="1118" spans="1:2" s="8" customFormat="1" ht="25.5" customHeight="1">
      <c r="A1118" s="9" t="s">
        <v>2233</v>
      </c>
      <c r="B1118" s="107" t="s">
        <v>2234</v>
      </c>
    </row>
    <row r="1119" spans="1:2" s="8" customFormat="1" ht="25.5" customHeight="1">
      <c r="A1119" s="9" t="s">
        <v>2235</v>
      </c>
      <c r="B1119" s="107" t="s">
        <v>2236</v>
      </c>
    </row>
    <row r="1120" spans="1:2" s="8" customFormat="1" ht="25.5" customHeight="1">
      <c r="A1120" s="9" t="s">
        <v>2237</v>
      </c>
      <c r="B1120" s="107" t="s">
        <v>2238</v>
      </c>
    </row>
    <row r="1121" spans="1:2" s="8" customFormat="1" ht="25.5" customHeight="1">
      <c r="A1121" s="9" t="s">
        <v>2239</v>
      </c>
      <c r="B1121" s="107" t="s">
        <v>2240</v>
      </c>
    </row>
    <row r="1122" spans="1:2" s="8" customFormat="1" ht="25.5" customHeight="1">
      <c r="A1122" s="9" t="s">
        <v>2241</v>
      </c>
      <c r="B1122" s="107" t="s">
        <v>2242</v>
      </c>
    </row>
    <row r="1123" spans="1:2" s="8" customFormat="1" ht="25.5" customHeight="1">
      <c r="A1123" s="9" t="s">
        <v>2243</v>
      </c>
      <c r="B1123" s="107" t="s">
        <v>2244</v>
      </c>
    </row>
    <row r="1124" spans="1:2" s="8" customFormat="1" ht="25.5" customHeight="1">
      <c r="A1124" s="9" t="s">
        <v>2245</v>
      </c>
      <c r="B1124" s="107" t="s">
        <v>2246</v>
      </c>
    </row>
    <row r="1125" spans="1:2" s="8" customFormat="1" ht="25.5" customHeight="1">
      <c r="A1125" s="9" t="s">
        <v>2247</v>
      </c>
      <c r="B1125" s="107" t="s">
        <v>2248</v>
      </c>
    </row>
    <row r="1126" spans="1:2" s="8" customFormat="1" ht="25.5" customHeight="1">
      <c r="A1126" s="9" t="s">
        <v>2249</v>
      </c>
      <c r="B1126" s="107" t="s">
        <v>2250</v>
      </c>
    </row>
    <row r="1127" spans="1:2" s="8" customFormat="1" ht="25.5" customHeight="1">
      <c r="A1127" s="9" t="s">
        <v>2251</v>
      </c>
      <c r="B1127" s="107" t="s">
        <v>2252</v>
      </c>
    </row>
    <row r="1128" spans="1:2" s="8" customFormat="1" ht="25.5" customHeight="1">
      <c r="A1128" s="9" t="s">
        <v>2253</v>
      </c>
      <c r="B1128" s="107" t="s">
        <v>2254</v>
      </c>
    </row>
    <row r="1129" spans="1:2" s="8" customFormat="1" ht="25.5" customHeight="1">
      <c r="A1129" s="9" t="s">
        <v>2255</v>
      </c>
      <c r="B1129" s="107" t="s">
        <v>2256</v>
      </c>
    </row>
    <row r="1130" spans="1:2" s="8" customFormat="1" ht="25.5" customHeight="1">
      <c r="A1130" s="9" t="s">
        <v>2257</v>
      </c>
      <c r="B1130" s="107" t="s">
        <v>2258</v>
      </c>
    </row>
    <row r="1131" spans="1:2" s="8" customFormat="1" ht="25.5" customHeight="1">
      <c r="A1131" s="9" t="s">
        <v>2259</v>
      </c>
      <c r="B1131" s="107" t="s">
        <v>2260</v>
      </c>
    </row>
    <row r="1132" spans="1:2" s="8" customFormat="1" ht="25.5" customHeight="1">
      <c r="A1132" s="9" t="s">
        <v>2261</v>
      </c>
      <c r="B1132" s="107" t="s">
        <v>2262</v>
      </c>
    </row>
    <row r="1133" spans="1:2" s="8" customFormat="1" ht="25.5" customHeight="1">
      <c r="A1133" s="9" t="s">
        <v>2263</v>
      </c>
      <c r="B1133" s="107" t="s">
        <v>2264</v>
      </c>
    </row>
    <row r="1134" spans="1:2" s="8" customFormat="1" ht="25.5" customHeight="1">
      <c r="A1134" s="9" t="s">
        <v>2265</v>
      </c>
      <c r="B1134" s="107" t="s">
        <v>2266</v>
      </c>
    </row>
    <row r="1135" spans="1:2" s="8" customFormat="1" ht="25.5" customHeight="1">
      <c r="A1135" s="9" t="s">
        <v>2267</v>
      </c>
      <c r="B1135" s="107" t="s">
        <v>2268</v>
      </c>
    </row>
    <row r="1136" spans="1:2" s="8" customFormat="1" ht="25.5" customHeight="1">
      <c r="A1136" s="9" t="s">
        <v>2269</v>
      </c>
      <c r="B1136" s="107" t="s">
        <v>2270</v>
      </c>
    </row>
    <row r="1137" spans="1:2" s="8" customFormat="1" ht="25.5" customHeight="1">
      <c r="A1137" s="9" t="s">
        <v>2271</v>
      </c>
      <c r="B1137" s="107" t="s">
        <v>2272</v>
      </c>
    </row>
    <row r="1138" spans="1:2" s="8" customFormat="1" ht="25.5" customHeight="1">
      <c r="A1138" s="9" t="s">
        <v>2273</v>
      </c>
      <c r="B1138" s="107" t="s">
        <v>2274</v>
      </c>
    </row>
    <row r="1139" spans="1:2" s="8" customFormat="1" ht="25.5" customHeight="1">
      <c r="A1139" s="9" t="s">
        <v>2275</v>
      </c>
      <c r="B1139" s="107" t="s">
        <v>2276</v>
      </c>
    </row>
    <row r="1140" spans="1:2" s="8" customFormat="1" ht="25.5" customHeight="1">
      <c r="A1140" s="9" t="s">
        <v>2277</v>
      </c>
      <c r="B1140" s="107" t="s">
        <v>2278</v>
      </c>
    </row>
    <row r="1141" spans="1:2" s="8" customFormat="1" ht="25.5" customHeight="1">
      <c r="A1141" s="9" t="s">
        <v>2279</v>
      </c>
      <c r="B1141" s="107" t="s">
        <v>2280</v>
      </c>
    </row>
    <row r="1142" spans="1:2" s="8" customFormat="1" ht="25.5" customHeight="1">
      <c r="A1142" s="9" t="s">
        <v>2281</v>
      </c>
      <c r="B1142" s="107" t="s">
        <v>2282</v>
      </c>
    </row>
    <row r="1143" spans="1:2" s="8" customFormat="1" ht="25.5" customHeight="1">
      <c r="A1143" s="9" t="s">
        <v>2283</v>
      </c>
      <c r="B1143" s="107" t="s">
        <v>2284</v>
      </c>
    </row>
    <row r="1144" spans="1:2" s="8" customFormat="1" ht="25.5" customHeight="1">
      <c r="A1144" s="9" t="s">
        <v>2285</v>
      </c>
      <c r="B1144" s="107" t="s">
        <v>2286</v>
      </c>
    </row>
    <row r="1145" spans="1:2" s="8" customFormat="1" ht="25.5" customHeight="1">
      <c r="A1145" s="9" t="s">
        <v>2287</v>
      </c>
      <c r="B1145" s="107" t="s">
        <v>2288</v>
      </c>
    </row>
    <row r="1146" spans="1:2" s="8" customFormat="1" ht="25.5" customHeight="1">
      <c r="A1146" s="9" t="s">
        <v>2289</v>
      </c>
      <c r="B1146" s="107" t="s">
        <v>2290</v>
      </c>
    </row>
    <row r="1147" spans="1:2" s="8" customFormat="1" ht="25.5" customHeight="1">
      <c r="A1147" s="9" t="s">
        <v>2291</v>
      </c>
      <c r="B1147" s="107" t="s">
        <v>2292</v>
      </c>
    </row>
    <row r="1148" spans="1:2" s="8" customFormat="1" ht="25.5" customHeight="1">
      <c r="A1148" s="9" t="s">
        <v>2293</v>
      </c>
      <c r="B1148" s="107" t="s">
        <v>2294</v>
      </c>
    </row>
    <row r="1149" spans="1:2" s="8" customFormat="1" ht="25.5" customHeight="1">
      <c r="A1149" s="9" t="s">
        <v>2295</v>
      </c>
      <c r="B1149" s="107" t="s">
        <v>2296</v>
      </c>
    </row>
    <row r="1150" spans="1:2" s="8" customFormat="1" ht="25.5" customHeight="1">
      <c r="A1150" s="9" t="s">
        <v>2297</v>
      </c>
      <c r="B1150" s="107" t="s">
        <v>2298</v>
      </c>
    </row>
    <row r="1151" spans="1:2" s="8" customFormat="1" ht="25.5" customHeight="1">
      <c r="A1151" s="9" t="s">
        <v>2299</v>
      </c>
      <c r="B1151" s="107" t="s">
        <v>2300</v>
      </c>
    </row>
    <row r="1152" spans="1:2" s="8" customFormat="1" ht="25.5" customHeight="1">
      <c r="A1152" s="9" t="s">
        <v>2301</v>
      </c>
      <c r="B1152" s="107" t="s">
        <v>2302</v>
      </c>
    </row>
    <row r="1153" spans="1:2" s="8" customFormat="1" ht="25.5" customHeight="1">
      <c r="A1153" s="9" t="s">
        <v>2303</v>
      </c>
      <c r="B1153" s="107" t="s">
        <v>2304</v>
      </c>
    </row>
    <row r="1154" spans="1:2" s="8" customFormat="1" ht="25.5" customHeight="1">
      <c r="A1154" s="9" t="s">
        <v>2305</v>
      </c>
      <c r="B1154" s="107" t="s">
        <v>2306</v>
      </c>
    </row>
    <row r="1155" spans="1:2" s="8" customFormat="1" ht="25.5" customHeight="1">
      <c r="A1155" s="9" t="s">
        <v>2307</v>
      </c>
      <c r="B1155" s="107" t="s">
        <v>2308</v>
      </c>
    </row>
    <row r="1156" spans="1:2" s="8" customFormat="1" ht="25.5" customHeight="1">
      <c r="A1156" s="9" t="s">
        <v>2309</v>
      </c>
      <c r="B1156" s="107" t="s">
        <v>2310</v>
      </c>
    </row>
    <row r="1157" spans="1:2" s="8" customFormat="1" ht="25.5" customHeight="1">
      <c r="A1157" s="9" t="s">
        <v>2311</v>
      </c>
      <c r="B1157" s="107" t="s">
        <v>2312</v>
      </c>
    </row>
    <row r="1158" spans="1:2" s="8" customFormat="1" ht="25.5" customHeight="1">
      <c r="A1158" s="9" t="s">
        <v>2313</v>
      </c>
      <c r="B1158" s="107" t="s">
        <v>2314</v>
      </c>
    </row>
    <row r="1159" spans="1:2" s="8" customFormat="1" ht="25.5" customHeight="1">
      <c r="A1159" s="9" t="s">
        <v>2315</v>
      </c>
      <c r="B1159" s="107" t="s">
        <v>2316</v>
      </c>
    </row>
    <row r="1160" spans="1:2" s="8" customFormat="1" ht="25.5" customHeight="1">
      <c r="A1160" s="9" t="s">
        <v>2317</v>
      </c>
      <c r="B1160" s="107" t="s">
        <v>2318</v>
      </c>
    </row>
    <row r="1161" spans="1:2" s="8" customFormat="1" ht="25.5" customHeight="1">
      <c r="A1161" s="9" t="s">
        <v>2319</v>
      </c>
      <c r="B1161" s="107" t="s">
        <v>2320</v>
      </c>
    </row>
    <row r="1162" spans="1:2" s="8" customFormat="1" ht="25.5" customHeight="1">
      <c r="A1162" s="9" t="s">
        <v>2321</v>
      </c>
      <c r="B1162" s="107" t="s">
        <v>2322</v>
      </c>
    </row>
    <row r="1163" spans="1:2" s="8" customFormat="1" ht="25.5" customHeight="1">
      <c r="A1163" s="9" t="s">
        <v>2323</v>
      </c>
      <c r="B1163" s="107" t="s">
        <v>2324</v>
      </c>
    </row>
    <row r="1164" spans="1:2" s="8" customFormat="1" ht="25.5" customHeight="1">
      <c r="A1164" s="9" t="s">
        <v>2325</v>
      </c>
      <c r="B1164" s="107" t="s">
        <v>2326</v>
      </c>
    </row>
    <row r="1165" spans="1:2" s="8" customFormat="1" ht="25.5" customHeight="1">
      <c r="A1165" s="9" t="s">
        <v>2327</v>
      </c>
      <c r="B1165" s="107" t="s">
        <v>2328</v>
      </c>
    </row>
    <row r="1166" spans="1:2" s="8" customFormat="1" ht="25.5" customHeight="1">
      <c r="A1166" s="9" t="s">
        <v>2329</v>
      </c>
      <c r="B1166" s="107" t="s">
        <v>2330</v>
      </c>
    </row>
    <row r="1167" spans="1:2" s="8" customFormat="1" ht="25.5" customHeight="1">
      <c r="A1167" s="9" t="s">
        <v>2331</v>
      </c>
      <c r="B1167" s="107" t="s">
        <v>2332</v>
      </c>
    </row>
    <row r="1168" spans="1:2" s="8" customFormat="1" ht="25.5" customHeight="1">
      <c r="A1168" s="9" t="s">
        <v>2333</v>
      </c>
      <c r="B1168" s="107" t="s">
        <v>2334</v>
      </c>
    </row>
    <row r="1169" spans="1:2" s="8" customFormat="1" ht="25.5" customHeight="1">
      <c r="A1169" s="9" t="s">
        <v>2335</v>
      </c>
      <c r="B1169" s="107" t="s">
        <v>2336</v>
      </c>
    </row>
    <row r="1170" spans="1:2" s="8" customFormat="1" ht="25.5" customHeight="1">
      <c r="A1170" s="9" t="s">
        <v>2337</v>
      </c>
      <c r="B1170" s="107" t="s">
        <v>2338</v>
      </c>
    </row>
    <row r="1171" spans="1:2" s="8" customFormat="1" ht="25.5" customHeight="1">
      <c r="A1171" s="9" t="s">
        <v>2339</v>
      </c>
      <c r="B1171" s="107" t="s">
        <v>2340</v>
      </c>
    </row>
    <row r="1172" spans="1:2" s="8" customFormat="1" ht="25.5" customHeight="1">
      <c r="A1172" s="9" t="s">
        <v>2341</v>
      </c>
      <c r="B1172" s="107" t="s">
        <v>2342</v>
      </c>
    </row>
    <row r="1173" spans="1:2" s="8" customFormat="1" ht="25.5" customHeight="1">
      <c r="A1173" s="9" t="s">
        <v>2343</v>
      </c>
      <c r="B1173" s="107" t="s">
        <v>2344</v>
      </c>
    </row>
    <row r="1174" spans="1:2" s="8" customFormat="1" ht="25.5" customHeight="1">
      <c r="A1174" s="9" t="s">
        <v>2345</v>
      </c>
      <c r="B1174" s="107" t="s">
        <v>2346</v>
      </c>
    </row>
    <row r="1175" spans="1:2" s="8" customFormat="1" ht="25.5" customHeight="1">
      <c r="A1175" s="9" t="s">
        <v>2347</v>
      </c>
      <c r="B1175" s="107" t="s">
        <v>2348</v>
      </c>
    </row>
    <row r="1176" spans="1:2" s="8" customFormat="1" ht="25.5" customHeight="1">
      <c r="A1176" s="9" t="s">
        <v>2349</v>
      </c>
      <c r="B1176" s="107" t="s">
        <v>2350</v>
      </c>
    </row>
    <row r="1177" spans="1:2" s="8" customFormat="1" ht="25.5" customHeight="1">
      <c r="A1177" s="9" t="s">
        <v>2351</v>
      </c>
      <c r="B1177" s="107" t="s">
        <v>2352</v>
      </c>
    </row>
    <row r="1178" spans="1:2" s="8" customFormat="1" ht="25.5" customHeight="1">
      <c r="A1178" s="9" t="s">
        <v>2353</v>
      </c>
      <c r="B1178" s="107" t="s">
        <v>2354</v>
      </c>
    </row>
    <row r="1179" spans="1:2" s="8" customFormat="1" ht="25.5" customHeight="1">
      <c r="A1179" s="9" t="s">
        <v>2355</v>
      </c>
      <c r="B1179" s="107" t="s">
        <v>2356</v>
      </c>
    </row>
    <row r="1180" spans="1:2" s="8" customFormat="1" ht="25.5" customHeight="1">
      <c r="A1180" s="9" t="s">
        <v>2357</v>
      </c>
      <c r="B1180" s="107" t="s">
        <v>2358</v>
      </c>
    </row>
  </sheetData>
  <hyperlinks>
    <hyperlink ref="A743" r:id="rId1"/>
  </hyperlink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15"/>
  <sheetViews>
    <sheetView showGridLines="0" topLeftCell="D1" zoomScaleNormal="100" workbookViewId="0">
      <selection activeCell="C34" sqref="C34"/>
    </sheetView>
  </sheetViews>
  <sheetFormatPr defaultColWidth="12.5703125" defaultRowHeight="25.5" customHeight="1"/>
  <cols>
    <col min="1" max="1" width="16.140625" style="53" bestFit="1" customWidth="1"/>
    <col min="2" max="2" width="14.85546875" style="53" bestFit="1" customWidth="1"/>
    <col min="3" max="3" width="111" style="53" bestFit="1" customWidth="1"/>
    <col min="4" max="4" width="4.140625" style="53" bestFit="1" customWidth="1"/>
    <col min="5" max="5" width="92.42578125" style="59" bestFit="1" customWidth="1"/>
    <col min="6" max="16384" width="12.5703125" style="53"/>
  </cols>
  <sheetData>
    <row r="1" spans="1:25" ht="25.5" customHeight="1">
      <c r="A1" s="54" t="s">
        <v>2359</v>
      </c>
      <c r="B1" s="54" t="s">
        <v>0</v>
      </c>
      <c r="C1" s="54" t="s">
        <v>2360</v>
      </c>
      <c r="D1" s="54" t="s">
        <v>2361</v>
      </c>
      <c r="E1" s="56" t="s">
        <v>2362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25.5" customHeight="1">
      <c r="A2" s="47" t="s">
        <v>2363</v>
      </c>
      <c r="B2" s="45" t="s">
        <v>114</v>
      </c>
      <c r="C2" s="45" t="s">
        <v>115</v>
      </c>
      <c r="D2" s="45">
        <v>75</v>
      </c>
      <c r="E2" s="60" t="s">
        <v>3223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25.5" customHeight="1">
      <c r="A3" s="47" t="s">
        <v>2363</v>
      </c>
      <c r="B3" s="45" t="s">
        <v>64</v>
      </c>
      <c r="C3" s="45" t="s">
        <v>65</v>
      </c>
      <c r="D3" s="45">
        <v>51</v>
      </c>
      <c r="E3" s="57" t="s">
        <v>3224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ht="25.5" customHeight="1">
      <c r="A4" s="47" t="s">
        <v>2363</v>
      </c>
      <c r="B4" s="45" t="s">
        <v>12</v>
      </c>
      <c r="C4" s="45" t="s">
        <v>13</v>
      </c>
      <c r="D4" s="45">
        <v>40</v>
      </c>
      <c r="E4" s="60" t="s">
        <v>3225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ht="25.5" customHeight="1">
      <c r="A5" s="47" t="s">
        <v>2363</v>
      </c>
      <c r="B5" s="45" t="s">
        <v>162</v>
      </c>
      <c r="C5" s="45" t="s">
        <v>163</v>
      </c>
      <c r="D5" s="45">
        <v>38</v>
      </c>
      <c r="E5" s="60" t="s">
        <v>3226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5" ht="25.5" customHeight="1">
      <c r="A6" s="47" t="s">
        <v>2363</v>
      </c>
      <c r="B6" s="45" t="s">
        <v>146</v>
      </c>
      <c r="C6" s="45" t="s">
        <v>147</v>
      </c>
      <c r="D6" s="45">
        <v>35</v>
      </c>
      <c r="E6" s="60" t="s">
        <v>3227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5" ht="25.5" customHeight="1">
      <c r="A7" s="47" t="s">
        <v>2363</v>
      </c>
      <c r="B7" s="45" t="s">
        <v>3228</v>
      </c>
      <c r="C7" s="45" t="s">
        <v>117</v>
      </c>
      <c r="D7" s="45">
        <v>33</v>
      </c>
      <c r="E7" s="60" t="s">
        <v>3229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5" ht="25.5" customHeight="1">
      <c r="A8" s="47" t="s">
        <v>2363</v>
      </c>
      <c r="B8" s="45" t="s">
        <v>424</v>
      </c>
      <c r="C8" s="45" t="s">
        <v>425</v>
      </c>
      <c r="D8" s="45">
        <v>30</v>
      </c>
      <c r="E8" s="57" t="s">
        <v>3230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spans="1:25" ht="25.5" customHeight="1">
      <c r="A9" s="47" t="s">
        <v>2363</v>
      </c>
      <c r="B9" s="45" t="s">
        <v>752</v>
      </c>
      <c r="C9" s="45" t="s">
        <v>347</v>
      </c>
      <c r="D9" s="45">
        <v>27</v>
      </c>
      <c r="E9" s="60" t="s">
        <v>3231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ht="25.5" customHeight="1">
      <c r="A10" s="47" t="s">
        <v>2363</v>
      </c>
      <c r="B10" s="45" t="s">
        <v>338</v>
      </c>
      <c r="C10" s="45" t="s">
        <v>339</v>
      </c>
      <c r="D10" s="45">
        <v>25</v>
      </c>
      <c r="E10" s="60" t="s">
        <v>3232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</row>
    <row r="11" spans="1:25" ht="25.5" customHeight="1">
      <c r="A11" s="47" t="s">
        <v>2363</v>
      </c>
      <c r="B11" s="45" t="s">
        <v>1361</v>
      </c>
      <c r="C11" s="45" t="s">
        <v>1362</v>
      </c>
      <c r="D11" s="45">
        <v>12</v>
      </c>
      <c r="E11" s="57" t="s">
        <v>3233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5" ht="25.5" customHeight="1">
      <c r="A12" s="49" t="s">
        <v>2383</v>
      </c>
      <c r="B12" s="45" t="s">
        <v>416</v>
      </c>
      <c r="C12" s="45" t="s">
        <v>417</v>
      </c>
      <c r="D12" s="45">
        <v>25</v>
      </c>
      <c r="E12" s="57" t="s">
        <v>3234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</row>
    <row r="13" spans="1:25" ht="25.5" customHeight="1">
      <c r="A13" s="49" t="s">
        <v>2383</v>
      </c>
      <c r="B13" s="45" t="s">
        <v>202</v>
      </c>
      <c r="C13" s="45" t="s">
        <v>203</v>
      </c>
      <c r="D13" s="45">
        <v>22</v>
      </c>
      <c r="E13" s="57" t="s">
        <v>3235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</row>
    <row r="14" spans="1:25" ht="25.5" customHeight="1">
      <c r="A14" s="49" t="s">
        <v>2383</v>
      </c>
      <c r="B14" s="45" t="s">
        <v>394</v>
      </c>
      <c r="C14" s="45" t="s">
        <v>395</v>
      </c>
      <c r="D14" s="45">
        <v>21</v>
      </c>
      <c r="E14" s="57" t="s">
        <v>3236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</row>
    <row r="15" spans="1:25" ht="25.5" customHeight="1">
      <c r="A15" s="49" t="s">
        <v>2383</v>
      </c>
      <c r="B15" s="45" t="s">
        <v>600</v>
      </c>
      <c r="C15" s="45" t="s">
        <v>601</v>
      </c>
      <c r="D15" s="45">
        <v>21</v>
      </c>
      <c r="E15" s="60" t="s">
        <v>3237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</row>
    <row r="16" spans="1:25" ht="25.5" customHeight="1">
      <c r="A16" s="49" t="s">
        <v>2383</v>
      </c>
      <c r="B16" s="45" t="s">
        <v>296</v>
      </c>
      <c r="C16" s="45" t="s">
        <v>297</v>
      </c>
      <c r="D16" s="45">
        <v>20</v>
      </c>
      <c r="E16" s="60" t="s">
        <v>3238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</row>
    <row r="17" spans="1:25" ht="25.5" customHeight="1">
      <c r="A17" s="49" t="s">
        <v>2383</v>
      </c>
      <c r="B17" s="45" t="s">
        <v>1044</v>
      </c>
      <c r="C17" s="45" t="s">
        <v>1045</v>
      </c>
      <c r="D17" s="45">
        <v>20</v>
      </c>
      <c r="E17" s="60" t="s">
        <v>3239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</row>
    <row r="18" spans="1:25" ht="25.5" customHeight="1">
      <c r="A18" s="49" t="s">
        <v>2383</v>
      </c>
      <c r="B18" s="45" t="s">
        <v>1301</v>
      </c>
      <c r="C18" s="45" t="s">
        <v>1302</v>
      </c>
      <c r="D18" s="45">
        <v>19</v>
      </c>
      <c r="E18" s="57" t="s">
        <v>3240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</row>
    <row r="19" spans="1:25" ht="25.5" customHeight="1">
      <c r="A19" s="49" t="s">
        <v>2383</v>
      </c>
      <c r="B19" s="45" t="s">
        <v>1605</v>
      </c>
      <c r="C19" s="45" t="s">
        <v>1606</v>
      </c>
      <c r="D19" s="45"/>
      <c r="E19" s="57" t="s">
        <v>3241</v>
      </c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</row>
    <row r="20" spans="1:25" ht="25.5" customHeight="1">
      <c r="A20" s="49" t="s">
        <v>2383</v>
      </c>
      <c r="B20" s="45" t="s">
        <v>1613</v>
      </c>
      <c r="C20" s="45" t="s">
        <v>1614</v>
      </c>
      <c r="D20" s="45"/>
      <c r="E20" s="57" t="s">
        <v>3241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</row>
    <row r="21" spans="1:25" ht="25.5" customHeight="1">
      <c r="A21" s="49" t="s">
        <v>2383</v>
      </c>
      <c r="B21" s="50" t="s">
        <v>2261</v>
      </c>
      <c r="C21" s="50" t="s">
        <v>2262</v>
      </c>
      <c r="D21" s="50"/>
      <c r="E21" s="57" t="s">
        <v>3241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</row>
    <row r="22" spans="1:25" ht="25.5" customHeight="1">
      <c r="A22" s="51" t="s">
        <v>2406</v>
      </c>
      <c r="B22" s="45" t="s">
        <v>928</v>
      </c>
      <c r="C22" s="45" t="s">
        <v>929</v>
      </c>
      <c r="D22" s="45">
        <v>19</v>
      </c>
      <c r="E22" s="57" t="s">
        <v>3242</v>
      </c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</row>
    <row r="23" spans="1:25" ht="25.5" customHeight="1">
      <c r="A23" s="51" t="s">
        <v>2406</v>
      </c>
      <c r="B23" s="45" t="s">
        <v>1032</v>
      </c>
      <c r="C23" s="45" t="s">
        <v>1033</v>
      </c>
      <c r="D23" s="45">
        <v>18</v>
      </c>
      <c r="E23" s="57" t="s">
        <v>3243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</row>
    <row r="24" spans="1:25" ht="25.5" customHeight="1">
      <c r="A24" s="51" t="s">
        <v>2406</v>
      </c>
      <c r="B24" s="45" t="s">
        <v>3244</v>
      </c>
      <c r="C24" s="45" t="s">
        <v>637</v>
      </c>
      <c r="D24" s="45">
        <v>17</v>
      </c>
      <c r="E24" s="57" t="s">
        <v>3245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5" spans="1:25" ht="25.5" customHeight="1">
      <c r="A25" s="51" t="s">
        <v>2406</v>
      </c>
      <c r="B25" s="45" t="s">
        <v>610</v>
      </c>
      <c r="C25" s="45" t="s">
        <v>611</v>
      </c>
      <c r="D25" s="45">
        <v>16</v>
      </c>
      <c r="E25" s="57" t="s">
        <v>3246</v>
      </c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 ht="25.5" customHeight="1">
      <c r="A26" s="51" t="s">
        <v>2406</v>
      </c>
      <c r="B26" s="45" t="s">
        <v>1165</v>
      </c>
      <c r="C26" s="45" t="s">
        <v>1166</v>
      </c>
      <c r="D26" s="45">
        <v>16</v>
      </c>
      <c r="E26" s="57" t="s">
        <v>3247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25.5" customHeight="1">
      <c r="A27" s="51" t="s">
        <v>2406</v>
      </c>
      <c r="B27" s="45" t="s">
        <v>980</v>
      </c>
      <c r="C27" s="45" t="s">
        <v>981</v>
      </c>
      <c r="D27" s="45">
        <v>15</v>
      </c>
      <c r="E27" s="57" t="s">
        <v>3248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</row>
    <row r="28" spans="1:25" ht="25.5" customHeight="1">
      <c r="A28" s="51" t="s">
        <v>2406</v>
      </c>
      <c r="B28" s="45" t="s">
        <v>952</v>
      </c>
      <c r="C28" s="45" t="s">
        <v>953</v>
      </c>
      <c r="D28" s="45">
        <v>15</v>
      </c>
      <c r="E28" s="57" t="s">
        <v>3249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 spans="1:25" ht="25.5" customHeight="1">
      <c r="A29" s="51" t="s">
        <v>2406</v>
      </c>
      <c r="B29" s="45" t="s">
        <v>910</v>
      </c>
      <c r="C29" s="45" t="s">
        <v>911</v>
      </c>
      <c r="D29" s="45">
        <v>14</v>
      </c>
      <c r="E29" s="57" t="s">
        <v>3250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</row>
    <row r="30" spans="1:25" ht="25.5" customHeight="1">
      <c r="A30" s="51" t="s">
        <v>2406</v>
      </c>
      <c r="B30" s="50" t="s">
        <v>1203</v>
      </c>
      <c r="C30" s="50" t="s">
        <v>1204</v>
      </c>
      <c r="D30" s="50">
        <v>14</v>
      </c>
      <c r="E30" s="57" t="s">
        <v>3251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</row>
    <row r="31" spans="1:25" ht="25.5" customHeight="1">
      <c r="A31" s="51" t="s">
        <v>2406</v>
      </c>
      <c r="B31" s="45" t="s">
        <v>716</v>
      </c>
      <c r="C31" s="45" t="s">
        <v>717</v>
      </c>
      <c r="D31" s="45">
        <v>14</v>
      </c>
      <c r="E31" s="57" t="s">
        <v>3252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spans="1:25" ht="25.5" customHeight="1">
      <c r="A32" s="51" t="s">
        <v>2406</v>
      </c>
      <c r="B32" s="45" t="s">
        <v>396</v>
      </c>
      <c r="C32" s="45" t="s">
        <v>397</v>
      </c>
      <c r="D32" s="45">
        <v>14</v>
      </c>
      <c r="E32" s="57" t="s">
        <v>3240</v>
      </c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</row>
    <row r="33" spans="1:25" ht="25.5" customHeight="1">
      <c r="A33" s="51" t="s">
        <v>2406</v>
      </c>
      <c r="B33" s="45" t="s">
        <v>958</v>
      </c>
      <c r="C33" s="45" t="s">
        <v>959</v>
      </c>
      <c r="D33" s="45">
        <v>14</v>
      </c>
      <c r="E33" s="57" t="s">
        <v>3253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ht="25.5" customHeight="1">
      <c r="A34" s="51" t="s">
        <v>2406</v>
      </c>
      <c r="B34" s="45" t="s">
        <v>544</v>
      </c>
      <c r="C34" s="45" t="s">
        <v>545</v>
      </c>
      <c r="D34" s="45">
        <v>13</v>
      </c>
      <c r="E34" s="57" t="s">
        <v>3254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</row>
    <row r="35" spans="1:25" ht="25.5" customHeight="1">
      <c r="A35" s="51" t="s">
        <v>2406</v>
      </c>
      <c r="B35" s="45" t="s">
        <v>572</v>
      </c>
      <c r="C35" s="45" t="s">
        <v>573</v>
      </c>
      <c r="D35" s="45">
        <v>13</v>
      </c>
      <c r="E35" s="57" t="s">
        <v>3255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</row>
    <row r="36" spans="1:25" ht="25.5" customHeight="1">
      <c r="A36" s="51" t="s">
        <v>2406</v>
      </c>
      <c r="B36" s="50" t="s">
        <v>1000</v>
      </c>
      <c r="C36" s="50" t="s">
        <v>1001</v>
      </c>
      <c r="D36" s="50">
        <v>13</v>
      </c>
      <c r="E36" s="57" t="s">
        <v>3256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</row>
    <row r="37" spans="1:25" ht="25.5" customHeight="1">
      <c r="A37" s="51" t="s">
        <v>2406</v>
      </c>
      <c r="B37" s="45" t="s">
        <v>3257</v>
      </c>
      <c r="C37" s="45" t="s">
        <v>3258</v>
      </c>
      <c r="D37" s="45">
        <v>12</v>
      </c>
      <c r="E37" s="60" t="s">
        <v>3259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</row>
    <row r="38" spans="1:25" ht="25.5" customHeight="1">
      <c r="A38" s="51" t="s">
        <v>2406</v>
      </c>
      <c r="B38" s="45" t="s">
        <v>3260</v>
      </c>
      <c r="C38" s="45" t="s">
        <v>1480</v>
      </c>
      <c r="D38" s="45">
        <v>11</v>
      </c>
      <c r="E38" s="60" t="s">
        <v>3261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spans="1:25" ht="25.5" customHeight="1">
      <c r="A39" s="51" t="s">
        <v>2406</v>
      </c>
      <c r="B39" s="45" t="s">
        <v>1347</v>
      </c>
      <c r="C39" s="45" t="s">
        <v>1348</v>
      </c>
      <c r="D39" s="45">
        <v>10</v>
      </c>
      <c r="E39" s="60" t="s">
        <v>3262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</row>
    <row r="40" spans="1:25" ht="25.5" customHeight="1">
      <c r="A40" s="51" t="s">
        <v>2406</v>
      </c>
      <c r="B40" s="45" t="s">
        <v>1325</v>
      </c>
      <c r="C40" s="45" t="s">
        <v>1326</v>
      </c>
      <c r="D40" s="45">
        <v>8</v>
      </c>
      <c r="E40" s="57" t="s">
        <v>3263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</row>
    <row r="41" spans="1:25" ht="25.5" customHeight="1">
      <c r="A41" s="51" t="s">
        <v>2406</v>
      </c>
      <c r="B41" s="45" t="s">
        <v>1331</v>
      </c>
      <c r="C41" s="45" t="s">
        <v>1332</v>
      </c>
      <c r="D41" s="45">
        <v>8</v>
      </c>
      <c r="E41" s="60" t="s">
        <v>3261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</row>
    <row r="42" spans="1:25" ht="25.5" customHeight="1">
      <c r="A42" s="51" t="s">
        <v>2406</v>
      </c>
      <c r="B42" s="50" t="s">
        <v>166</v>
      </c>
      <c r="C42" s="50" t="s">
        <v>167</v>
      </c>
      <c r="D42" s="50">
        <v>34</v>
      </c>
      <c r="E42" s="57" t="s">
        <v>3264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</row>
    <row r="43" spans="1:25" ht="25.5" customHeight="1">
      <c r="A43" s="51" t="s">
        <v>2406</v>
      </c>
      <c r="B43" s="50" t="s">
        <v>286</v>
      </c>
      <c r="C43" s="50" t="s">
        <v>287</v>
      </c>
      <c r="D43" s="50">
        <v>21</v>
      </c>
      <c r="E43" s="57" t="s">
        <v>3265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</row>
    <row r="44" spans="1:25" ht="25.5" customHeight="1">
      <c r="A44" s="51" t="s">
        <v>2406</v>
      </c>
      <c r="B44" s="50" t="s">
        <v>624</v>
      </c>
      <c r="C44" s="50" t="s">
        <v>625</v>
      </c>
      <c r="D44" s="50">
        <v>17</v>
      </c>
      <c r="E44" s="57" t="s">
        <v>3266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</row>
    <row r="45" spans="1:25" ht="25.5" customHeight="1">
      <c r="A45" s="51" t="s">
        <v>2406</v>
      </c>
      <c r="B45" s="50" t="s">
        <v>304</v>
      </c>
      <c r="C45" s="50" t="s">
        <v>305</v>
      </c>
      <c r="D45" s="50">
        <v>18</v>
      </c>
      <c r="E45" s="57" t="s">
        <v>3267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</row>
    <row r="46" spans="1:25" ht="25.5" customHeight="1">
      <c r="A46" s="51" t="s">
        <v>2406</v>
      </c>
      <c r="B46" s="50" t="s">
        <v>760</v>
      </c>
      <c r="C46" s="50" t="s">
        <v>761</v>
      </c>
      <c r="D46" s="50">
        <v>17</v>
      </c>
      <c r="E46" s="57" t="s">
        <v>3268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</row>
    <row r="47" spans="1:25" ht="25.5" customHeight="1">
      <c r="A47" s="51" t="s">
        <v>2406</v>
      </c>
      <c r="B47" s="50" t="s">
        <v>1213</v>
      </c>
      <c r="C47" s="50" t="s">
        <v>1214</v>
      </c>
      <c r="D47" s="50"/>
      <c r="E47" s="57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</row>
    <row r="48" spans="1:25" ht="25.5" customHeight="1">
      <c r="A48" s="51" t="s">
        <v>2406</v>
      </c>
      <c r="B48" s="45" t="s">
        <v>3269</v>
      </c>
      <c r="C48" s="45" t="s">
        <v>453</v>
      </c>
      <c r="D48" s="45"/>
      <c r="E48" s="57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</row>
    <row r="49" spans="1:25" ht="25.5" customHeight="1">
      <c r="A49" s="51" t="s">
        <v>2406</v>
      </c>
      <c r="B49" s="45" t="s">
        <v>1371</v>
      </c>
      <c r="C49" s="45" t="s">
        <v>1372</v>
      </c>
      <c r="D49" s="45"/>
      <c r="E49" s="57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</row>
    <row r="50" spans="1:25" ht="25.5" customHeight="1">
      <c r="A50" s="51" t="s">
        <v>2406</v>
      </c>
      <c r="B50" s="45" t="s">
        <v>3270</v>
      </c>
      <c r="C50" s="45" t="s">
        <v>3271</v>
      </c>
      <c r="D50" s="45"/>
      <c r="E50" s="57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</row>
    <row r="51" spans="1:25" ht="25.5" customHeight="1">
      <c r="A51" s="51" t="s">
        <v>2406</v>
      </c>
      <c r="B51" s="45" t="s">
        <v>3272</v>
      </c>
      <c r="C51" s="45" t="s">
        <v>3273</v>
      </c>
      <c r="D51" s="45"/>
      <c r="E51" s="57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</row>
    <row r="52" spans="1:25" ht="25.5" customHeight="1">
      <c r="A52" s="51" t="s">
        <v>2406</v>
      </c>
      <c r="B52" s="45" t="s">
        <v>2311</v>
      </c>
      <c r="C52" s="45" t="s">
        <v>2312</v>
      </c>
      <c r="D52" s="50"/>
      <c r="E52" s="57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</row>
    <row r="53" spans="1:25" ht="25.5" customHeight="1">
      <c r="A53" s="51" t="s">
        <v>2406</v>
      </c>
      <c r="B53" s="45" t="s">
        <v>2323</v>
      </c>
      <c r="C53" s="45" t="s">
        <v>2324</v>
      </c>
      <c r="D53" s="50"/>
      <c r="E53" s="57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</row>
    <row r="54" spans="1:25" ht="25.5" customHeight="1">
      <c r="A54" s="51" t="s">
        <v>2406</v>
      </c>
      <c r="B54" s="45" t="s">
        <v>3269</v>
      </c>
      <c r="C54" s="45" t="s">
        <v>453</v>
      </c>
      <c r="D54" s="45"/>
      <c r="E54" s="57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</row>
    <row r="55" spans="1:25" ht="25.5" customHeight="1">
      <c r="A55" s="51" t="s">
        <v>2406</v>
      </c>
      <c r="B55" s="45" t="s">
        <v>3274</v>
      </c>
      <c r="C55" s="45" t="s">
        <v>3275</v>
      </c>
      <c r="D55" s="45"/>
      <c r="E55" s="57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</row>
    <row r="56" spans="1:25" ht="25.5" customHeight="1">
      <c r="A56" s="51" t="s">
        <v>2406</v>
      </c>
      <c r="B56" s="45" t="s">
        <v>3276</v>
      </c>
      <c r="C56" s="45" t="s">
        <v>3277</v>
      </c>
      <c r="D56" s="45"/>
      <c r="E56" s="57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</row>
    <row r="57" spans="1:25" ht="25.5" customHeight="1">
      <c r="A57" s="51" t="s">
        <v>2406</v>
      </c>
      <c r="B57" s="45" t="s">
        <v>2003</v>
      </c>
      <c r="C57" s="45" t="s">
        <v>2004</v>
      </c>
      <c r="D57" s="45"/>
      <c r="E57" s="57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</row>
    <row r="58" spans="1:25" ht="25.5" customHeight="1">
      <c r="A58" s="51" t="s">
        <v>2406</v>
      </c>
      <c r="B58" s="45" t="s">
        <v>1775</v>
      </c>
      <c r="C58" s="45" t="s">
        <v>1776</v>
      </c>
      <c r="D58" s="45"/>
      <c r="E58" s="57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25" ht="25.5" customHeight="1">
      <c r="A59" s="51" t="s">
        <v>2406</v>
      </c>
      <c r="B59" s="45" t="s">
        <v>1867</v>
      </c>
      <c r="C59" s="45" t="s">
        <v>1868</v>
      </c>
      <c r="D59" s="45"/>
      <c r="E59" s="57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</row>
    <row r="60" spans="1:25" ht="25.5" customHeight="1">
      <c r="A60" s="51" t="s">
        <v>2406</v>
      </c>
      <c r="B60" s="45" t="s">
        <v>3278</v>
      </c>
      <c r="C60" s="45" t="s">
        <v>3279</v>
      </c>
      <c r="D60" s="45"/>
      <c r="E60" s="57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</row>
    <row r="61" spans="1:25" ht="25.5" customHeight="1">
      <c r="A61" s="51" t="s">
        <v>2406</v>
      </c>
      <c r="B61" s="45" t="s">
        <v>2349</v>
      </c>
      <c r="C61" s="45" t="s">
        <v>2350</v>
      </c>
      <c r="D61" s="45"/>
      <c r="E61" s="57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</row>
    <row r="62" spans="1:25" ht="25.5" customHeight="1">
      <c r="A62" s="51" t="s">
        <v>2406</v>
      </c>
      <c r="B62" s="45" t="s">
        <v>3280</v>
      </c>
      <c r="C62" s="45" t="s">
        <v>3281</v>
      </c>
      <c r="D62" s="45"/>
      <c r="E62" s="57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</row>
    <row r="63" spans="1:25" ht="25.5" customHeight="1">
      <c r="A63" s="52"/>
      <c r="B63" s="52"/>
      <c r="C63" s="52"/>
      <c r="D63" s="52"/>
      <c r="E63" s="58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</row>
    <row r="64" spans="1:25" ht="25.5" customHeight="1">
      <c r="A64" s="52"/>
      <c r="B64" s="52"/>
      <c r="C64" s="52"/>
      <c r="D64" s="52"/>
      <c r="E64" s="58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</row>
    <row r="65" spans="1:25" ht="25.5" customHeight="1">
      <c r="A65" s="52"/>
      <c r="B65" s="52"/>
      <c r="C65" s="52"/>
      <c r="D65" s="52"/>
      <c r="E65" s="58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</row>
    <row r="66" spans="1:25" ht="25.5" customHeight="1">
      <c r="A66" s="52"/>
      <c r="B66" s="52"/>
      <c r="C66" s="52"/>
      <c r="D66" s="52"/>
      <c r="E66" s="58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</row>
    <row r="67" spans="1:25" ht="25.5" customHeight="1">
      <c r="A67" s="52"/>
      <c r="B67" s="52"/>
      <c r="C67" s="52"/>
      <c r="D67" s="52"/>
      <c r="E67" s="58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</row>
    <row r="68" spans="1:25" ht="25.5" customHeight="1">
      <c r="A68" s="52"/>
      <c r="B68" s="52"/>
      <c r="C68" s="52"/>
      <c r="D68" s="52"/>
      <c r="E68" s="58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</row>
    <row r="69" spans="1:25" ht="25.5" customHeight="1">
      <c r="A69" s="52"/>
      <c r="B69" s="52"/>
      <c r="C69" s="52"/>
      <c r="D69" s="52"/>
      <c r="E69" s="58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</row>
    <row r="70" spans="1:25" ht="25.5" customHeight="1">
      <c r="A70" s="52"/>
      <c r="B70" s="52"/>
      <c r="C70" s="52"/>
      <c r="D70" s="52"/>
      <c r="E70" s="58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</row>
    <row r="71" spans="1:25" ht="25.5" customHeight="1">
      <c r="A71" s="52"/>
      <c r="B71" s="52"/>
      <c r="C71" s="52"/>
      <c r="D71" s="52"/>
      <c r="E71" s="58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</row>
    <row r="72" spans="1:25" ht="25.5" customHeight="1">
      <c r="A72" s="52"/>
      <c r="B72" s="52"/>
      <c r="C72" s="52"/>
      <c r="D72" s="52"/>
      <c r="E72" s="58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</row>
    <row r="73" spans="1:25" ht="25.5" customHeight="1">
      <c r="A73" s="52"/>
      <c r="B73" s="52"/>
      <c r="C73" s="52"/>
      <c r="D73" s="52"/>
      <c r="E73" s="58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</row>
    <row r="74" spans="1:25" ht="25.5" customHeight="1">
      <c r="A74" s="52"/>
      <c r="B74" s="52"/>
      <c r="C74" s="52"/>
      <c r="D74" s="52"/>
      <c r="E74" s="58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</row>
    <row r="75" spans="1:25" ht="25.5" customHeight="1">
      <c r="A75" s="52"/>
      <c r="B75" s="52"/>
      <c r="C75" s="52"/>
      <c r="D75" s="52"/>
      <c r="E75" s="58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</row>
    <row r="76" spans="1:25" ht="25.5" customHeight="1">
      <c r="A76" s="52"/>
      <c r="B76" s="52"/>
      <c r="C76" s="52"/>
      <c r="D76" s="52"/>
      <c r="E76" s="58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</row>
    <row r="77" spans="1:25" ht="25.5" customHeight="1">
      <c r="A77" s="52"/>
      <c r="B77" s="52"/>
      <c r="C77" s="52"/>
      <c r="D77" s="52"/>
      <c r="E77" s="58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</row>
    <row r="78" spans="1:25" ht="25.5" customHeight="1">
      <c r="A78" s="52"/>
      <c r="B78" s="52"/>
      <c r="C78" s="52"/>
      <c r="D78" s="52"/>
      <c r="E78" s="58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 ht="25.5" customHeight="1">
      <c r="A79" s="52"/>
      <c r="B79" s="52"/>
      <c r="C79" s="52"/>
      <c r="D79" s="52"/>
      <c r="E79" s="58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</row>
    <row r="80" spans="1:25" ht="25.5" customHeight="1">
      <c r="A80" s="52"/>
      <c r="B80" s="52"/>
      <c r="C80" s="52"/>
      <c r="D80" s="52"/>
      <c r="E80" s="58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</row>
    <row r="81" spans="1:25" ht="25.5" customHeight="1">
      <c r="A81" s="52"/>
      <c r="B81" s="52"/>
      <c r="C81" s="52"/>
      <c r="D81" s="52"/>
      <c r="E81" s="58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</row>
    <row r="82" spans="1:25" ht="25.5" customHeight="1">
      <c r="A82" s="52"/>
      <c r="B82" s="52"/>
      <c r="C82" s="52"/>
      <c r="D82" s="52"/>
      <c r="E82" s="58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</row>
    <row r="83" spans="1:25" ht="25.5" customHeight="1">
      <c r="A83" s="52"/>
      <c r="B83" s="52"/>
      <c r="C83" s="52"/>
      <c r="D83" s="52"/>
      <c r="E83" s="58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</row>
    <row r="84" spans="1:25" ht="25.5" customHeight="1">
      <c r="A84" s="52"/>
      <c r="B84" s="52"/>
      <c r="C84" s="52"/>
      <c r="D84" s="52"/>
      <c r="E84" s="58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</row>
    <row r="85" spans="1:25" ht="25.5" customHeight="1">
      <c r="A85" s="52"/>
      <c r="B85" s="52"/>
      <c r="C85" s="52"/>
      <c r="D85" s="52"/>
      <c r="E85" s="58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</row>
    <row r="86" spans="1:25" ht="25.5" customHeight="1">
      <c r="A86" s="52"/>
      <c r="B86" s="52"/>
      <c r="C86" s="52"/>
      <c r="D86" s="52"/>
      <c r="E86" s="58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</row>
    <row r="87" spans="1:25" ht="25.5" customHeight="1">
      <c r="A87" s="52"/>
      <c r="B87" s="52"/>
      <c r="C87" s="52"/>
      <c r="D87" s="52"/>
      <c r="E87" s="58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</row>
    <row r="88" spans="1:25" ht="25.5" customHeight="1">
      <c r="A88" s="52"/>
      <c r="B88" s="52"/>
      <c r="C88" s="52"/>
      <c r="D88" s="52"/>
      <c r="E88" s="58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</row>
    <row r="89" spans="1:25" ht="25.5" customHeight="1">
      <c r="A89" s="52"/>
      <c r="B89" s="52"/>
      <c r="C89" s="52"/>
      <c r="D89" s="52"/>
      <c r="E89" s="58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</row>
    <row r="90" spans="1:25" ht="25.5" customHeight="1">
      <c r="A90" s="52"/>
      <c r="B90" s="52"/>
      <c r="C90" s="52"/>
      <c r="D90" s="52"/>
      <c r="E90" s="58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</row>
    <row r="91" spans="1:25" ht="25.5" customHeight="1">
      <c r="A91" s="52"/>
      <c r="B91" s="52"/>
      <c r="C91" s="52"/>
      <c r="D91" s="52"/>
      <c r="E91" s="58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</row>
    <row r="92" spans="1:25" ht="25.5" customHeight="1">
      <c r="A92" s="52"/>
      <c r="B92" s="52"/>
      <c r="C92" s="52"/>
      <c r="D92" s="52"/>
      <c r="E92" s="58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</row>
    <row r="93" spans="1:25" ht="25.5" customHeight="1">
      <c r="A93" s="52"/>
      <c r="B93" s="52"/>
      <c r="C93" s="52"/>
      <c r="D93" s="52"/>
      <c r="E93" s="58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</row>
    <row r="94" spans="1:25" ht="25.5" customHeight="1">
      <c r="A94" s="52"/>
      <c r="B94" s="52"/>
      <c r="C94" s="52"/>
      <c r="D94" s="52"/>
      <c r="E94" s="58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</row>
    <row r="95" spans="1:25" ht="25.5" customHeight="1">
      <c r="A95" s="52"/>
      <c r="B95" s="52"/>
      <c r="C95" s="52"/>
      <c r="D95" s="52"/>
      <c r="E95" s="58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</row>
    <row r="96" spans="1:25" ht="25.5" customHeight="1">
      <c r="A96" s="52"/>
      <c r="B96" s="52"/>
      <c r="C96" s="52"/>
      <c r="D96" s="52"/>
      <c r="E96" s="58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</row>
    <row r="97" spans="1:25" ht="25.5" customHeight="1">
      <c r="A97" s="52"/>
      <c r="B97" s="52"/>
      <c r="C97" s="52"/>
      <c r="D97" s="52"/>
      <c r="E97" s="58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</row>
    <row r="98" spans="1:25" ht="25.5" customHeight="1">
      <c r="A98" s="52"/>
      <c r="B98" s="52"/>
      <c r="C98" s="52"/>
      <c r="D98" s="52"/>
      <c r="E98" s="58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</row>
    <row r="99" spans="1:25" ht="25.5" customHeight="1">
      <c r="A99" s="52"/>
      <c r="B99" s="52"/>
      <c r="C99" s="52"/>
      <c r="D99" s="52"/>
      <c r="E99" s="58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</row>
    <row r="100" spans="1:25" ht="25.5" customHeight="1">
      <c r="A100" s="52"/>
      <c r="B100" s="52"/>
      <c r="C100" s="52"/>
      <c r="D100" s="52"/>
      <c r="E100" s="58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</row>
    <row r="101" spans="1:25" ht="25.5" customHeight="1">
      <c r="A101" s="52"/>
      <c r="B101" s="52"/>
      <c r="C101" s="52"/>
      <c r="D101" s="52"/>
      <c r="E101" s="58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</row>
    <row r="102" spans="1:25" ht="25.5" customHeight="1">
      <c r="A102" s="52"/>
      <c r="B102" s="52"/>
      <c r="C102" s="52"/>
      <c r="D102" s="52"/>
      <c r="E102" s="58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</row>
    <row r="103" spans="1:25" ht="25.5" customHeight="1">
      <c r="A103" s="52"/>
      <c r="B103" s="52"/>
      <c r="C103" s="52"/>
      <c r="D103" s="52"/>
      <c r="E103" s="58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spans="1:25" ht="25.5" customHeight="1">
      <c r="A104" s="52"/>
      <c r="B104" s="52"/>
      <c r="C104" s="52"/>
      <c r="D104" s="52"/>
      <c r="E104" s="58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</row>
    <row r="105" spans="1:25" ht="25.5" customHeight="1">
      <c r="A105" s="52"/>
      <c r="B105" s="52"/>
      <c r="C105" s="52"/>
      <c r="D105" s="52"/>
      <c r="E105" s="58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  <row r="106" spans="1:25" ht="25.5" customHeight="1">
      <c r="A106" s="52"/>
      <c r="B106" s="52"/>
      <c r="C106" s="52"/>
      <c r="D106" s="52"/>
      <c r="E106" s="58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</row>
    <row r="107" spans="1:25" ht="25.5" customHeight="1">
      <c r="A107" s="52"/>
      <c r="B107" s="52"/>
      <c r="C107" s="52"/>
      <c r="D107" s="52"/>
      <c r="E107" s="58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</row>
    <row r="108" spans="1:25" ht="25.5" customHeight="1">
      <c r="A108" s="52"/>
      <c r="B108" s="52"/>
      <c r="C108" s="52"/>
      <c r="D108" s="52"/>
      <c r="E108" s="58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</row>
    <row r="109" spans="1:25" ht="25.5" customHeight="1">
      <c r="A109" s="52"/>
      <c r="B109" s="52"/>
      <c r="C109" s="52"/>
      <c r="D109" s="52"/>
      <c r="E109" s="58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</row>
    <row r="110" spans="1:25" ht="25.5" customHeight="1">
      <c r="A110" s="52"/>
      <c r="B110" s="52"/>
      <c r="C110" s="52"/>
      <c r="D110" s="52"/>
      <c r="E110" s="58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</row>
    <row r="111" spans="1:25" ht="25.5" customHeight="1">
      <c r="A111" s="52"/>
      <c r="B111" s="52"/>
      <c r="C111" s="52"/>
      <c r="D111" s="52"/>
      <c r="E111" s="58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</row>
    <row r="112" spans="1:25" ht="25.5" customHeight="1">
      <c r="A112" s="52"/>
      <c r="B112" s="52"/>
      <c r="C112" s="52"/>
      <c r="D112" s="52"/>
      <c r="E112" s="58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</row>
    <row r="113" spans="1:25" ht="25.5" customHeight="1">
      <c r="A113" s="52"/>
      <c r="B113" s="52"/>
      <c r="C113" s="52"/>
      <c r="D113" s="52"/>
      <c r="E113" s="58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</row>
    <row r="114" spans="1:25" ht="25.5" customHeight="1">
      <c r="A114" s="52"/>
      <c r="B114" s="52"/>
      <c r="C114" s="52"/>
      <c r="D114" s="52"/>
      <c r="E114" s="58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</row>
    <row r="115" spans="1:25" ht="25.5" customHeight="1">
      <c r="A115" s="52"/>
      <c r="B115" s="52"/>
      <c r="C115" s="52"/>
      <c r="D115" s="52"/>
      <c r="E115" s="58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</row>
    <row r="116" spans="1:25" ht="25.5" customHeight="1">
      <c r="A116" s="52"/>
      <c r="B116" s="52"/>
      <c r="C116" s="52"/>
      <c r="D116" s="52"/>
      <c r="E116" s="58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</row>
    <row r="117" spans="1:25" ht="25.5" customHeight="1">
      <c r="A117" s="52"/>
      <c r="B117" s="52"/>
      <c r="C117" s="52"/>
      <c r="D117" s="52"/>
      <c r="E117" s="58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</row>
    <row r="118" spans="1:25" ht="25.5" customHeight="1">
      <c r="A118" s="52"/>
      <c r="B118" s="52"/>
      <c r="C118" s="52"/>
      <c r="D118" s="52"/>
      <c r="E118" s="58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</row>
    <row r="119" spans="1:25" ht="25.5" customHeight="1">
      <c r="A119" s="52"/>
      <c r="B119" s="52"/>
      <c r="C119" s="52"/>
      <c r="D119" s="52"/>
      <c r="E119" s="58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</row>
    <row r="120" spans="1:25" ht="25.5" customHeight="1">
      <c r="A120" s="52"/>
      <c r="B120" s="52"/>
      <c r="C120" s="52"/>
      <c r="D120" s="52"/>
      <c r="E120" s="58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</row>
    <row r="121" spans="1:25" ht="25.5" customHeight="1">
      <c r="A121" s="52"/>
      <c r="B121" s="52"/>
      <c r="C121" s="52"/>
      <c r="D121" s="52"/>
      <c r="E121" s="58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</row>
    <row r="122" spans="1:25" ht="25.5" customHeight="1">
      <c r="A122" s="52"/>
      <c r="B122" s="52"/>
      <c r="C122" s="52"/>
      <c r="D122" s="52"/>
      <c r="E122" s="58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</row>
    <row r="123" spans="1:25" ht="25.5" customHeight="1">
      <c r="A123" s="52"/>
      <c r="B123" s="52"/>
      <c r="C123" s="52"/>
      <c r="D123" s="52"/>
      <c r="E123" s="58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</row>
    <row r="124" spans="1:25" ht="25.5" customHeight="1">
      <c r="A124" s="52"/>
      <c r="B124" s="52"/>
      <c r="C124" s="52"/>
      <c r="D124" s="52"/>
      <c r="E124" s="58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</row>
    <row r="125" spans="1:25" ht="25.5" customHeight="1">
      <c r="A125" s="52"/>
      <c r="B125" s="52"/>
      <c r="C125" s="52"/>
      <c r="D125" s="52"/>
      <c r="E125" s="58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</row>
    <row r="126" spans="1:25" ht="25.5" customHeight="1">
      <c r="A126" s="52"/>
      <c r="B126" s="52"/>
      <c r="C126" s="52"/>
      <c r="D126" s="52"/>
      <c r="E126" s="58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</row>
    <row r="127" spans="1:25" ht="25.5" customHeight="1">
      <c r="A127" s="52"/>
      <c r="B127" s="52"/>
      <c r="C127" s="52"/>
      <c r="D127" s="52"/>
      <c r="E127" s="58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</row>
    <row r="128" spans="1:25" ht="25.5" customHeight="1">
      <c r="A128" s="52"/>
      <c r="B128" s="52"/>
      <c r="C128" s="52"/>
      <c r="D128" s="52"/>
      <c r="E128" s="58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</row>
    <row r="129" spans="1:25" ht="25.5" customHeight="1">
      <c r="A129" s="52"/>
      <c r="B129" s="52"/>
      <c r="C129" s="52"/>
      <c r="D129" s="52"/>
      <c r="E129" s="58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</row>
    <row r="130" spans="1:25" ht="25.5" customHeight="1">
      <c r="A130" s="52"/>
      <c r="B130" s="52"/>
      <c r="C130" s="52"/>
      <c r="D130" s="52"/>
      <c r="E130" s="58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</row>
    <row r="131" spans="1:25" ht="25.5" customHeight="1">
      <c r="A131" s="52"/>
      <c r="B131" s="52"/>
      <c r="C131" s="52"/>
      <c r="D131" s="52"/>
      <c r="E131" s="58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</row>
    <row r="132" spans="1:25" ht="25.5" customHeight="1">
      <c r="A132" s="52"/>
      <c r="B132" s="52"/>
      <c r="C132" s="52"/>
      <c r="D132" s="52"/>
      <c r="E132" s="58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</row>
    <row r="133" spans="1:25" ht="25.5" customHeight="1">
      <c r="A133" s="52"/>
      <c r="B133" s="52"/>
      <c r="C133" s="52"/>
      <c r="D133" s="52"/>
      <c r="E133" s="58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</row>
    <row r="134" spans="1:25" ht="25.5" customHeight="1">
      <c r="A134" s="52"/>
      <c r="B134" s="52"/>
      <c r="C134" s="52"/>
      <c r="D134" s="52"/>
      <c r="E134" s="58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</row>
    <row r="135" spans="1:25" ht="25.5" customHeight="1">
      <c r="A135" s="52"/>
      <c r="B135" s="52"/>
      <c r="C135" s="52"/>
      <c r="D135" s="52"/>
      <c r="E135" s="58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</row>
    <row r="136" spans="1:25" ht="25.5" customHeight="1">
      <c r="A136" s="52"/>
      <c r="B136" s="52"/>
      <c r="C136" s="52"/>
      <c r="D136" s="52"/>
      <c r="E136" s="58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</row>
    <row r="137" spans="1:25" ht="25.5" customHeight="1">
      <c r="A137" s="52"/>
      <c r="B137" s="52"/>
      <c r="C137" s="52"/>
      <c r="D137" s="52"/>
      <c r="E137" s="58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</row>
    <row r="138" spans="1:25" ht="25.5" customHeight="1">
      <c r="A138" s="52"/>
      <c r="B138" s="52"/>
      <c r="C138" s="52"/>
      <c r="D138" s="52"/>
      <c r="E138" s="58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</row>
    <row r="139" spans="1:25" ht="25.5" customHeight="1">
      <c r="A139" s="52"/>
      <c r="B139" s="52"/>
      <c r="C139" s="52"/>
      <c r="D139" s="52"/>
      <c r="E139" s="58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</row>
    <row r="140" spans="1:25" ht="25.5" customHeight="1">
      <c r="A140" s="52"/>
      <c r="B140" s="52"/>
      <c r="C140" s="52"/>
      <c r="D140" s="52"/>
      <c r="E140" s="58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</row>
    <row r="141" spans="1:25" ht="25.5" customHeight="1">
      <c r="A141" s="52"/>
      <c r="B141" s="52"/>
      <c r="C141" s="52"/>
      <c r="D141" s="52"/>
      <c r="E141" s="58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</row>
    <row r="142" spans="1:25" ht="25.5" customHeight="1">
      <c r="A142" s="52"/>
      <c r="B142" s="52"/>
      <c r="C142" s="52"/>
      <c r="D142" s="52"/>
      <c r="E142" s="58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</row>
    <row r="143" spans="1:25" ht="25.5" customHeight="1">
      <c r="A143" s="52"/>
      <c r="B143" s="52"/>
      <c r="C143" s="52"/>
      <c r="D143" s="52"/>
      <c r="E143" s="58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</row>
    <row r="144" spans="1:25" ht="25.5" customHeight="1">
      <c r="A144" s="52"/>
      <c r="B144" s="52"/>
      <c r="C144" s="52"/>
      <c r="D144" s="52"/>
      <c r="E144" s="58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</row>
    <row r="145" spans="1:25" ht="25.5" customHeight="1">
      <c r="A145" s="52"/>
      <c r="B145" s="52"/>
      <c r="C145" s="52"/>
      <c r="D145" s="52"/>
      <c r="E145" s="58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</row>
    <row r="146" spans="1:25" ht="25.5" customHeight="1">
      <c r="A146" s="52"/>
      <c r="B146" s="52"/>
      <c r="C146" s="52"/>
      <c r="D146" s="52"/>
      <c r="E146" s="58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</row>
    <row r="147" spans="1:25" ht="25.5" customHeight="1">
      <c r="A147" s="52"/>
      <c r="B147" s="52"/>
      <c r="C147" s="52"/>
      <c r="D147" s="52"/>
      <c r="E147" s="58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</row>
    <row r="148" spans="1:25" ht="25.5" customHeight="1">
      <c r="A148" s="52"/>
      <c r="B148" s="52"/>
      <c r="C148" s="52"/>
      <c r="D148" s="52"/>
      <c r="E148" s="58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</row>
    <row r="149" spans="1:25" ht="25.5" customHeight="1">
      <c r="A149" s="52"/>
      <c r="B149" s="52"/>
      <c r="C149" s="52"/>
      <c r="D149" s="52"/>
      <c r="E149" s="58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</row>
    <row r="150" spans="1:25" ht="25.5" customHeight="1">
      <c r="A150" s="52"/>
      <c r="B150" s="52"/>
      <c r="C150" s="52"/>
      <c r="D150" s="52"/>
      <c r="E150" s="58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</row>
    <row r="151" spans="1:25" ht="25.5" customHeight="1">
      <c r="A151" s="52"/>
      <c r="B151" s="52"/>
      <c r="C151" s="52"/>
      <c r="D151" s="52"/>
      <c r="E151" s="58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</row>
    <row r="152" spans="1:25" ht="25.5" customHeight="1">
      <c r="A152" s="52"/>
      <c r="B152" s="52"/>
      <c r="C152" s="52"/>
      <c r="D152" s="52"/>
      <c r="E152" s="58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</row>
    <row r="153" spans="1:25" ht="25.5" customHeight="1">
      <c r="A153" s="52"/>
      <c r="B153" s="52"/>
      <c r="C153" s="52"/>
      <c r="D153" s="52"/>
      <c r="E153" s="58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</row>
    <row r="154" spans="1:25" ht="25.5" customHeight="1">
      <c r="A154" s="52"/>
      <c r="B154" s="52"/>
      <c r="C154" s="52"/>
      <c r="D154" s="52"/>
      <c r="E154" s="58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</row>
    <row r="155" spans="1:25" ht="25.5" customHeight="1">
      <c r="A155" s="52"/>
      <c r="B155" s="52"/>
      <c r="C155" s="52"/>
      <c r="D155" s="52"/>
      <c r="E155" s="58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</row>
    <row r="156" spans="1:25" ht="25.5" customHeight="1">
      <c r="A156" s="52"/>
      <c r="B156" s="52"/>
      <c r="C156" s="52"/>
      <c r="D156" s="52"/>
      <c r="E156" s="58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</row>
    <row r="157" spans="1:25" ht="25.5" customHeight="1">
      <c r="A157" s="52"/>
      <c r="B157" s="52"/>
      <c r="C157" s="52"/>
      <c r="D157" s="52"/>
      <c r="E157" s="58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</row>
    <row r="158" spans="1:25" ht="25.5" customHeight="1">
      <c r="A158" s="52"/>
      <c r="B158" s="52"/>
      <c r="C158" s="52"/>
      <c r="D158" s="52"/>
      <c r="E158" s="58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</row>
    <row r="159" spans="1:25" ht="25.5" customHeight="1">
      <c r="A159" s="52"/>
      <c r="B159" s="52"/>
      <c r="C159" s="52"/>
      <c r="D159" s="52"/>
      <c r="E159" s="58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</row>
    <row r="160" spans="1:25" ht="25.5" customHeight="1">
      <c r="A160" s="52"/>
      <c r="B160" s="52"/>
      <c r="C160" s="52"/>
      <c r="D160" s="52"/>
      <c r="E160" s="58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</row>
    <row r="161" spans="1:25" ht="25.5" customHeight="1">
      <c r="A161" s="52"/>
      <c r="B161" s="52"/>
      <c r="C161" s="52"/>
      <c r="D161" s="52"/>
      <c r="E161" s="58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5" ht="25.5" customHeight="1">
      <c r="A162" s="52"/>
      <c r="B162" s="52"/>
      <c r="C162" s="52"/>
      <c r="D162" s="52"/>
      <c r="E162" s="58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5" ht="25.5" customHeight="1">
      <c r="A163" s="52"/>
      <c r="B163" s="52"/>
      <c r="C163" s="52"/>
      <c r="D163" s="52"/>
      <c r="E163" s="58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</row>
    <row r="164" spans="1:25" ht="25.5" customHeight="1">
      <c r="A164" s="52"/>
      <c r="B164" s="52"/>
      <c r="C164" s="52"/>
      <c r="D164" s="52"/>
      <c r="E164" s="58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</row>
    <row r="165" spans="1:25" ht="25.5" customHeight="1">
      <c r="A165" s="52"/>
      <c r="B165" s="52"/>
      <c r="C165" s="52"/>
      <c r="D165" s="52"/>
      <c r="E165" s="58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</row>
    <row r="166" spans="1:25" ht="25.5" customHeight="1">
      <c r="A166" s="52"/>
      <c r="B166" s="52"/>
      <c r="C166" s="52"/>
      <c r="D166" s="52"/>
      <c r="E166" s="58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</row>
    <row r="167" spans="1:25" ht="25.5" customHeight="1">
      <c r="A167" s="52"/>
      <c r="B167" s="52"/>
      <c r="C167" s="52"/>
      <c r="D167" s="52"/>
      <c r="E167" s="58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</row>
    <row r="168" spans="1:25" ht="25.5" customHeight="1">
      <c r="A168" s="52"/>
      <c r="B168" s="52"/>
      <c r="C168" s="52"/>
      <c r="D168" s="52"/>
      <c r="E168" s="58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</row>
    <row r="169" spans="1:25" ht="25.5" customHeight="1">
      <c r="A169" s="52"/>
      <c r="B169" s="52"/>
      <c r="C169" s="52"/>
      <c r="D169" s="52"/>
      <c r="E169" s="58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</row>
    <row r="170" spans="1:25" ht="25.5" customHeight="1">
      <c r="A170" s="52"/>
      <c r="B170" s="52"/>
      <c r="C170" s="52"/>
      <c r="D170" s="52"/>
      <c r="E170" s="58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</row>
    <row r="171" spans="1:25" ht="25.5" customHeight="1">
      <c r="A171" s="52"/>
      <c r="B171" s="52"/>
      <c r="C171" s="52"/>
      <c r="D171" s="52"/>
      <c r="E171" s="58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</row>
    <row r="172" spans="1:25" ht="25.5" customHeight="1">
      <c r="A172" s="52"/>
      <c r="B172" s="52"/>
      <c r="C172" s="52"/>
      <c r="D172" s="52"/>
      <c r="E172" s="58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</row>
    <row r="173" spans="1:25" ht="25.5" customHeight="1">
      <c r="A173" s="52"/>
      <c r="B173" s="52"/>
      <c r="C173" s="52"/>
      <c r="D173" s="52"/>
      <c r="E173" s="58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</row>
    <row r="174" spans="1:25" ht="25.5" customHeight="1">
      <c r="A174" s="52"/>
      <c r="B174" s="52"/>
      <c r="C174" s="52"/>
      <c r="D174" s="52"/>
      <c r="E174" s="58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</row>
    <row r="175" spans="1:25" ht="25.5" customHeight="1">
      <c r="A175" s="52"/>
      <c r="B175" s="52"/>
      <c r="C175" s="52"/>
      <c r="D175" s="52"/>
      <c r="E175" s="58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</row>
    <row r="176" spans="1:25" ht="25.5" customHeight="1">
      <c r="A176" s="52"/>
      <c r="B176" s="52"/>
      <c r="C176" s="52"/>
      <c r="D176" s="52"/>
      <c r="E176" s="58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</row>
    <row r="177" spans="1:25" ht="25.5" customHeight="1">
      <c r="A177" s="52"/>
      <c r="B177" s="52"/>
      <c r="C177" s="52"/>
      <c r="D177" s="52"/>
      <c r="E177" s="58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</row>
    <row r="178" spans="1:25" ht="25.5" customHeight="1">
      <c r="A178" s="52"/>
      <c r="B178" s="52"/>
      <c r="C178" s="52"/>
      <c r="D178" s="52"/>
      <c r="E178" s="58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</row>
    <row r="179" spans="1:25" ht="25.5" customHeight="1">
      <c r="A179" s="52"/>
      <c r="B179" s="52"/>
      <c r="C179" s="52"/>
      <c r="D179" s="52"/>
      <c r="E179" s="58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</row>
    <row r="180" spans="1:25" ht="25.5" customHeight="1">
      <c r="A180" s="52"/>
      <c r="B180" s="52"/>
      <c r="C180" s="52"/>
      <c r="D180" s="52"/>
      <c r="E180" s="58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</row>
    <row r="181" spans="1:25" ht="25.5" customHeight="1">
      <c r="A181" s="52"/>
      <c r="B181" s="52"/>
      <c r="C181" s="52"/>
      <c r="D181" s="52"/>
      <c r="E181" s="58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</row>
    <row r="182" spans="1:25" ht="25.5" customHeight="1">
      <c r="A182" s="52"/>
      <c r="B182" s="52"/>
      <c r="C182" s="52"/>
      <c r="D182" s="52"/>
      <c r="E182" s="58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ht="25.5" customHeight="1">
      <c r="A183" s="52"/>
      <c r="B183" s="52"/>
      <c r="C183" s="52"/>
      <c r="D183" s="52"/>
      <c r="E183" s="58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ht="25.5" customHeight="1">
      <c r="A184" s="52"/>
      <c r="B184" s="52"/>
      <c r="C184" s="52"/>
      <c r="D184" s="52"/>
      <c r="E184" s="58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</row>
    <row r="185" spans="1:25" ht="25.5" customHeight="1">
      <c r="A185" s="52"/>
      <c r="B185" s="52"/>
      <c r="C185" s="52"/>
      <c r="D185" s="52"/>
      <c r="E185" s="58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ht="25.5" customHeight="1">
      <c r="A186" s="52"/>
      <c r="B186" s="52"/>
      <c r="C186" s="52"/>
      <c r="D186" s="52"/>
      <c r="E186" s="58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ht="25.5" customHeight="1">
      <c r="A187" s="52"/>
      <c r="B187" s="52"/>
      <c r="C187" s="52"/>
      <c r="D187" s="52"/>
      <c r="E187" s="58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</row>
    <row r="188" spans="1:25" ht="25.5" customHeight="1">
      <c r="A188" s="52"/>
      <c r="B188" s="52"/>
      <c r="C188" s="52"/>
      <c r="D188" s="52"/>
      <c r="E188" s="58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</row>
    <row r="189" spans="1:25" ht="25.5" customHeight="1">
      <c r="A189" s="52"/>
      <c r="B189" s="52"/>
      <c r="C189" s="52"/>
      <c r="D189" s="52"/>
      <c r="E189" s="58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</row>
    <row r="190" spans="1:25" ht="25.5" customHeight="1">
      <c r="A190" s="52"/>
      <c r="B190" s="52"/>
      <c r="C190" s="52"/>
      <c r="D190" s="52"/>
      <c r="E190" s="58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</row>
    <row r="191" spans="1:25" ht="25.5" customHeight="1">
      <c r="A191" s="52"/>
      <c r="B191" s="52"/>
      <c r="C191" s="52"/>
      <c r="D191" s="52"/>
      <c r="E191" s="58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</row>
    <row r="192" spans="1:25" ht="25.5" customHeight="1">
      <c r="A192" s="52"/>
      <c r="B192" s="52"/>
      <c r="C192" s="52"/>
      <c r="D192" s="52"/>
      <c r="E192" s="58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</row>
    <row r="193" spans="1:25" ht="25.5" customHeight="1">
      <c r="A193" s="52"/>
      <c r="B193" s="52"/>
      <c r="C193" s="52"/>
      <c r="D193" s="52"/>
      <c r="E193" s="58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</row>
    <row r="194" spans="1:25" ht="25.5" customHeight="1">
      <c r="A194" s="52"/>
      <c r="B194" s="52"/>
      <c r="C194" s="52"/>
      <c r="D194" s="52"/>
      <c r="E194" s="58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</row>
    <row r="195" spans="1:25" ht="25.5" customHeight="1">
      <c r="A195" s="52"/>
      <c r="B195" s="52"/>
      <c r="C195" s="52"/>
      <c r="D195" s="52"/>
      <c r="E195" s="58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</row>
    <row r="196" spans="1:25" ht="25.5" customHeight="1">
      <c r="A196" s="52"/>
      <c r="B196" s="52"/>
      <c r="C196" s="52"/>
      <c r="D196" s="52"/>
      <c r="E196" s="58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</row>
    <row r="197" spans="1:25" ht="25.5" customHeight="1">
      <c r="A197" s="52"/>
      <c r="B197" s="52"/>
      <c r="C197" s="52"/>
      <c r="D197" s="52"/>
      <c r="E197" s="58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</row>
    <row r="198" spans="1:25" ht="25.5" customHeight="1">
      <c r="A198" s="52"/>
      <c r="B198" s="52"/>
      <c r="C198" s="52"/>
      <c r="D198" s="52"/>
      <c r="E198" s="58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</row>
    <row r="199" spans="1:25" ht="25.5" customHeight="1">
      <c r="A199" s="52"/>
      <c r="B199" s="52"/>
      <c r="C199" s="52"/>
      <c r="D199" s="52"/>
      <c r="E199" s="58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</row>
    <row r="200" spans="1:25" ht="25.5" customHeight="1">
      <c r="A200" s="52"/>
      <c r="B200" s="52"/>
      <c r="C200" s="52"/>
      <c r="D200" s="52"/>
      <c r="E200" s="58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</row>
    <row r="201" spans="1:25" ht="25.5" customHeight="1">
      <c r="A201" s="52"/>
      <c r="B201" s="52"/>
      <c r="C201" s="52"/>
      <c r="D201" s="52"/>
      <c r="E201" s="58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</row>
    <row r="202" spans="1:25" ht="25.5" customHeight="1">
      <c r="A202" s="52"/>
      <c r="B202" s="52"/>
      <c r="C202" s="52"/>
      <c r="D202" s="52"/>
      <c r="E202" s="58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</row>
    <row r="203" spans="1:25" ht="25.5" customHeight="1">
      <c r="A203" s="52"/>
      <c r="B203" s="52"/>
      <c r="C203" s="52"/>
      <c r="D203" s="52"/>
      <c r="E203" s="58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</row>
    <row r="204" spans="1:25" ht="25.5" customHeight="1">
      <c r="A204" s="52"/>
      <c r="B204" s="52"/>
      <c r="C204" s="52"/>
      <c r="D204" s="52"/>
      <c r="E204" s="58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</row>
    <row r="205" spans="1:25" ht="25.5" customHeight="1">
      <c r="A205" s="52"/>
      <c r="B205" s="52"/>
      <c r="C205" s="52"/>
      <c r="D205" s="52"/>
      <c r="E205" s="58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</row>
    <row r="206" spans="1:25" ht="25.5" customHeight="1">
      <c r="A206" s="52"/>
      <c r="B206" s="52"/>
      <c r="C206" s="52"/>
      <c r="D206" s="52"/>
      <c r="E206" s="58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</row>
    <row r="207" spans="1:25" ht="25.5" customHeight="1">
      <c r="A207" s="52"/>
      <c r="B207" s="52"/>
      <c r="C207" s="52"/>
      <c r="D207" s="52"/>
      <c r="E207" s="58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</row>
    <row r="208" spans="1:25" ht="25.5" customHeight="1">
      <c r="A208" s="52"/>
      <c r="B208" s="52"/>
      <c r="C208" s="52"/>
      <c r="D208" s="52"/>
      <c r="E208" s="58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</row>
    <row r="209" spans="1:25" ht="25.5" customHeight="1">
      <c r="A209" s="52"/>
      <c r="B209" s="52"/>
      <c r="C209" s="52"/>
      <c r="D209" s="52"/>
      <c r="E209" s="58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</row>
    <row r="210" spans="1:25" ht="25.5" customHeight="1">
      <c r="A210" s="52"/>
      <c r="B210" s="52"/>
      <c r="C210" s="52"/>
      <c r="D210" s="52"/>
      <c r="E210" s="58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</row>
    <row r="211" spans="1:25" ht="25.5" customHeight="1">
      <c r="A211" s="52"/>
      <c r="B211" s="52"/>
      <c r="C211" s="52"/>
      <c r="D211" s="52"/>
      <c r="E211" s="58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</row>
    <row r="212" spans="1:25" ht="25.5" customHeight="1">
      <c r="A212" s="52"/>
      <c r="B212" s="52"/>
      <c r="C212" s="52"/>
      <c r="D212" s="52"/>
      <c r="E212" s="58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</row>
    <row r="213" spans="1:25" ht="25.5" customHeight="1">
      <c r="A213" s="52"/>
      <c r="B213" s="52"/>
      <c r="C213" s="52"/>
      <c r="D213" s="52"/>
      <c r="E213" s="58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</row>
    <row r="214" spans="1:25" ht="25.5" customHeight="1">
      <c r="A214" s="52"/>
      <c r="B214" s="52"/>
      <c r="C214" s="52"/>
      <c r="D214" s="52"/>
      <c r="E214" s="58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</row>
    <row r="215" spans="1:25" ht="25.5" customHeight="1">
      <c r="A215" s="52"/>
      <c r="B215" s="52"/>
      <c r="C215" s="52"/>
      <c r="D215" s="52"/>
      <c r="E215" s="58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</row>
    <row r="216" spans="1:25" ht="25.5" customHeight="1">
      <c r="A216" s="52"/>
      <c r="B216" s="52"/>
      <c r="C216" s="52"/>
      <c r="D216" s="52"/>
      <c r="E216" s="58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</row>
    <row r="217" spans="1:25" ht="25.5" customHeight="1">
      <c r="A217" s="52"/>
      <c r="B217" s="52"/>
      <c r="C217" s="52"/>
      <c r="D217" s="52"/>
      <c r="E217" s="58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</row>
    <row r="218" spans="1:25" ht="25.5" customHeight="1">
      <c r="A218" s="52"/>
      <c r="B218" s="52"/>
      <c r="C218" s="52"/>
      <c r="D218" s="52"/>
      <c r="E218" s="58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</row>
    <row r="219" spans="1:25" ht="25.5" customHeight="1">
      <c r="A219" s="52"/>
      <c r="B219" s="52"/>
      <c r="C219" s="52"/>
      <c r="D219" s="52"/>
      <c r="E219" s="58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</row>
    <row r="220" spans="1:25" ht="25.5" customHeight="1">
      <c r="A220" s="52"/>
      <c r="B220" s="52"/>
      <c r="C220" s="52"/>
      <c r="D220" s="52"/>
      <c r="E220" s="58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</row>
    <row r="221" spans="1:25" ht="25.5" customHeight="1">
      <c r="A221" s="52"/>
      <c r="B221" s="52"/>
      <c r="C221" s="52"/>
      <c r="D221" s="52"/>
      <c r="E221" s="58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</row>
    <row r="222" spans="1:25" ht="25.5" customHeight="1">
      <c r="A222" s="52"/>
      <c r="B222" s="52"/>
      <c r="C222" s="52"/>
      <c r="D222" s="52"/>
      <c r="E222" s="58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</row>
    <row r="223" spans="1:25" ht="25.5" customHeight="1">
      <c r="A223" s="52"/>
      <c r="B223" s="52"/>
      <c r="C223" s="52"/>
      <c r="D223" s="52"/>
      <c r="E223" s="58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</row>
    <row r="224" spans="1:25" ht="25.5" customHeight="1">
      <c r="A224" s="52"/>
      <c r="B224" s="52"/>
      <c r="C224" s="52"/>
      <c r="D224" s="52"/>
      <c r="E224" s="58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</row>
    <row r="225" spans="1:25" ht="25.5" customHeight="1">
      <c r="A225" s="52"/>
      <c r="B225" s="52"/>
      <c r="C225" s="52"/>
      <c r="D225" s="52"/>
      <c r="E225" s="58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</row>
    <row r="226" spans="1:25" ht="25.5" customHeight="1">
      <c r="A226" s="52"/>
      <c r="B226" s="52"/>
      <c r="C226" s="52"/>
      <c r="D226" s="52"/>
      <c r="E226" s="58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</row>
    <row r="227" spans="1:25" ht="25.5" customHeight="1">
      <c r="A227" s="52"/>
      <c r="B227" s="52"/>
      <c r="C227" s="52"/>
      <c r="D227" s="52"/>
      <c r="E227" s="58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</row>
    <row r="228" spans="1:25" ht="25.5" customHeight="1">
      <c r="A228" s="52"/>
      <c r="B228" s="52"/>
      <c r="C228" s="52"/>
      <c r="D228" s="52"/>
      <c r="E228" s="58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</row>
    <row r="229" spans="1:25" ht="25.5" customHeight="1">
      <c r="A229" s="52"/>
      <c r="B229" s="52"/>
      <c r="C229" s="52"/>
      <c r="D229" s="52"/>
      <c r="E229" s="58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</row>
    <row r="230" spans="1:25" ht="25.5" customHeight="1">
      <c r="A230" s="52"/>
      <c r="B230" s="52"/>
      <c r="C230" s="52"/>
      <c r="D230" s="52"/>
      <c r="E230" s="58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</row>
    <row r="231" spans="1:25" ht="25.5" customHeight="1">
      <c r="A231" s="52"/>
      <c r="B231" s="52"/>
      <c r="C231" s="52"/>
      <c r="D231" s="52"/>
      <c r="E231" s="58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</row>
    <row r="232" spans="1:25" ht="25.5" customHeight="1">
      <c r="A232" s="52"/>
      <c r="B232" s="52"/>
      <c r="C232" s="52"/>
      <c r="D232" s="52"/>
      <c r="E232" s="58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</row>
    <row r="233" spans="1:25" ht="25.5" customHeight="1">
      <c r="A233" s="52"/>
      <c r="B233" s="52"/>
      <c r="C233" s="52"/>
      <c r="D233" s="52"/>
      <c r="E233" s="58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</row>
    <row r="234" spans="1:25" ht="25.5" customHeight="1">
      <c r="A234" s="52"/>
      <c r="B234" s="52"/>
      <c r="C234" s="52"/>
      <c r="D234" s="52"/>
      <c r="E234" s="58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</row>
    <row r="235" spans="1:25" ht="25.5" customHeight="1">
      <c r="A235" s="52"/>
      <c r="B235" s="52"/>
      <c r="C235" s="52"/>
      <c r="D235" s="52"/>
      <c r="E235" s="58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</row>
    <row r="236" spans="1:25" ht="25.5" customHeight="1">
      <c r="A236" s="52"/>
      <c r="B236" s="52"/>
      <c r="C236" s="52"/>
      <c r="D236" s="52"/>
      <c r="E236" s="58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</row>
    <row r="237" spans="1:25" ht="25.5" customHeight="1">
      <c r="A237" s="52"/>
      <c r="B237" s="52"/>
      <c r="C237" s="52"/>
      <c r="D237" s="52"/>
      <c r="E237" s="58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</row>
    <row r="238" spans="1:25" ht="25.5" customHeight="1">
      <c r="A238" s="52"/>
      <c r="B238" s="52"/>
      <c r="C238" s="52"/>
      <c r="D238" s="52"/>
      <c r="E238" s="58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</row>
    <row r="239" spans="1:25" ht="25.5" customHeight="1">
      <c r="A239" s="52"/>
      <c r="B239" s="52"/>
      <c r="C239" s="52"/>
      <c r="D239" s="52"/>
      <c r="E239" s="58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</row>
    <row r="240" spans="1:25" ht="25.5" customHeight="1">
      <c r="A240" s="52"/>
      <c r="B240" s="52"/>
      <c r="C240" s="52"/>
      <c r="D240" s="52"/>
      <c r="E240" s="58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</row>
    <row r="241" spans="1:25" ht="25.5" customHeight="1">
      <c r="A241" s="52"/>
      <c r="B241" s="52"/>
      <c r="C241" s="52"/>
      <c r="D241" s="52"/>
      <c r="E241" s="58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</row>
    <row r="242" spans="1:25" ht="25.5" customHeight="1">
      <c r="A242" s="52"/>
      <c r="B242" s="52"/>
      <c r="C242" s="52"/>
      <c r="D242" s="52"/>
      <c r="E242" s="58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</row>
    <row r="243" spans="1:25" ht="25.5" customHeight="1">
      <c r="A243" s="52"/>
      <c r="B243" s="52"/>
      <c r="C243" s="52"/>
      <c r="D243" s="52"/>
      <c r="E243" s="58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5" ht="25.5" customHeight="1">
      <c r="A244" s="52"/>
      <c r="B244" s="52"/>
      <c r="C244" s="52"/>
      <c r="D244" s="52"/>
      <c r="E244" s="58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5" spans="1:25" ht="25.5" customHeight="1">
      <c r="A245" s="52"/>
      <c r="B245" s="52"/>
      <c r="C245" s="52"/>
      <c r="D245" s="52"/>
      <c r="E245" s="58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</row>
    <row r="246" spans="1:25" ht="25.5" customHeight="1">
      <c r="A246" s="52"/>
      <c r="B246" s="52"/>
      <c r="C246" s="52"/>
      <c r="D246" s="52"/>
      <c r="E246" s="58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</row>
    <row r="247" spans="1:25" ht="25.5" customHeight="1">
      <c r="A247" s="52"/>
      <c r="B247" s="52"/>
      <c r="C247" s="52"/>
      <c r="D247" s="52"/>
      <c r="E247" s="58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</row>
    <row r="248" spans="1:25" ht="25.5" customHeight="1">
      <c r="A248" s="52"/>
      <c r="B248" s="52"/>
      <c r="C248" s="52"/>
      <c r="D248" s="52"/>
      <c r="E248" s="58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</row>
    <row r="249" spans="1:25" ht="25.5" customHeight="1">
      <c r="A249" s="52"/>
      <c r="B249" s="52"/>
      <c r="C249" s="52"/>
      <c r="D249" s="52"/>
      <c r="E249" s="58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</row>
    <row r="250" spans="1:25" ht="25.5" customHeight="1">
      <c r="A250" s="52"/>
      <c r="B250" s="52"/>
      <c r="C250" s="52"/>
      <c r="D250" s="52"/>
      <c r="E250" s="58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</row>
    <row r="251" spans="1:25" ht="25.5" customHeight="1">
      <c r="A251" s="52"/>
      <c r="B251" s="52"/>
      <c r="C251" s="52"/>
      <c r="D251" s="52"/>
      <c r="E251" s="58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</row>
    <row r="252" spans="1:25" ht="25.5" customHeight="1">
      <c r="A252" s="52"/>
      <c r="B252" s="52"/>
      <c r="C252" s="52"/>
      <c r="D252" s="52"/>
      <c r="E252" s="58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</row>
    <row r="253" spans="1:25" ht="25.5" customHeight="1">
      <c r="A253" s="52"/>
      <c r="B253" s="52"/>
      <c r="C253" s="52"/>
      <c r="D253" s="52"/>
      <c r="E253" s="58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</row>
    <row r="254" spans="1:25" ht="25.5" customHeight="1">
      <c r="A254" s="52"/>
      <c r="B254" s="52"/>
      <c r="C254" s="52"/>
      <c r="D254" s="52"/>
      <c r="E254" s="58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</row>
    <row r="255" spans="1:25" ht="25.5" customHeight="1">
      <c r="A255" s="52"/>
      <c r="B255" s="52"/>
      <c r="C255" s="52"/>
      <c r="D255" s="52"/>
      <c r="E255" s="58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</row>
    <row r="256" spans="1:25" ht="25.5" customHeight="1">
      <c r="A256" s="52"/>
      <c r="B256" s="52"/>
      <c r="C256" s="52"/>
      <c r="D256" s="52"/>
      <c r="E256" s="58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</row>
    <row r="257" spans="1:25" ht="25.5" customHeight="1">
      <c r="A257" s="52"/>
      <c r="B257" s="52"/>
      <c r="C257" s="52"/>
      <c r="D257" s="52"/>
      <c r="E257" s="58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</row>
    <row r="258" spans="1:25" ht="25.5" customHeight="1">
      <c r="A258" s="52"/>
      <c r="B258" s="52"/>
      <c r="C258" s="52"/>
      <c r="D258" s="52"/>
      <c r="E258" s="58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</row>
    <row r="259" spans="1:25" ht="25.5" customHeight="1">
      <c r="A259" s="52"/>
      <c r="B259" s="52"/>
      <c r="C259" s="52"/>
      <c r="D259" s="52"/>
      <c r="E259" s="58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</row>
    <row r="260" spans="1:25" ht="25.5" customHeight="1">
      <c r="A260" s="52"/>
      <c r="B260" s="52"/>
      <c r="C260" s="52"/>
      <c r="D260" s="52"/>
      <c r="E260" s="58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</row>
    <row r="261" spans="1:25" ht="25.5" customHeight="1">
      <c r="A261" s="52"/>
      <c r="B261" s="52"/>
      <c r="C261" s="52"/>
      <c r="D261" s="52"/>
      <c r="E261" s="58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</row>
    <row r="262" spans="1:25" ht="25.5" customHeight="1">
      <c r="A262" s="52"/>
      <c r="B262" s="52"/>
      <c r="C262" s="52"/>
      <c r="D262" s="52"/>
      <c r="E262" s="58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</row>
    <row r="263" spans="1:25" ht="25.5" customHeight="1">
      <c r="A263" s="52"/>
      <c r="B263" s="52"/>
      <c r="C263" s="52"/>
      <c r="D263" s="52"/>
      <c r="E263" s="58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</row>
    <row r="264" spans="1:25" ht="25.5" customHeight="1">
      <c r="A264" s="52"/>
      <c r="B264" s="52"/>
      <c r="C264" s="52"/>
      <c r="D264" s="52"/>
      <c r="E264" s="58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</row>
    <row r="265" spans="1:25" ht="25.5" customHeight="1">
      <c r="A265" s="52"/>
      <c r="B265" s="52"/>
      <c r="C265" s="52"/>
      <c r="D265" s="52"/>
      <c r="E265" s="58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</row>
    <row r="266" spans="1:25" ht="25.5" customHeight="1">
      <c r="A266" s="52"/>
      <c r="B266" s="52"/>
      <c r="C266" s="52"/>
      <c r="D266" s="52"/>
      <c r="E266" s="58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</row>
    <row r="267" spans="1:25" ht="25.5" customHeight="1">
      <c r="A267" s="52"/>
      <c r="B267" s="52"/>
      <c r="C267" s="52"/>
      <c r="D267" s="52"/>
      <c r="E267" s="58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</row>
    <row r="268" spans="1:25" ht="25.5" customHeight="1">
      <c r="A268" s="52"/>
      <c r="B268" s="52"/>
      <c r="C268" s="52"/>
      <c r="D268" s="52"/>
      <c r="E268" s="58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</row>
    <row r="269" spans="1:25" ht="25.5" customHeight="1">
      <c r="A269" s="52"/>
      <c r="B269" s="52"/>
      <c r="C269" s="52"/>
      <c r="D269" s="52"/>
      <c r="E269" s="58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</row>
    <row r="270" spans="1:25" ht="25.5" customHeight="1">
      <c r="A270" s="52"/>
      <c r="B270" s="52"/>
      <c r="C270" s="52"/>
      <c r="D270" s="52"/>
      <c r="E270" s="58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</row>
    <row r="271" spans="1:25" ht="25.5" customHeight="1">
      <c r="A271" s="52"/>
      <c r="B271" s="52"/>
      <c r="C271" s="52"/>
      <c r="D271" s="52"/>
      <c r="E271" s="58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</row>
    <row r="272" spans="1:25" ht="25.5" customHeight="1">
      <c r="A272" s="52"/>
      <c r="B272" s="52"/>
      <c r="C272" s="52"/>
      <c r="D272" s="52"/>
      <c r="E272" s="58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</row>
    <row r="273" spans="1:25" ht="25.5" customHeight="1">
      <c r="A273" s="52"/>
      <c r="B273" s="52"/>
      <c r="C273" s="52"/>
      <c r="D273" s="52"/>
      <c r="E273" s="58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</row>
    <row r="274" spans="1:25" ht="25.5" customHeight="1">
      <c r="A274" s="52"/>
      <c r="B274" s="52"/>
      <c r="C274" s="52"/>
      <c r="D274" s="52"/>
      <c r="E274" s="58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</row>
    <row r="275" spans="1:25" ht="25.5" customHeight="1">
      <c r="A275" s="52"/>
      <c r="B275" s="52"/>
      <c r="C275" s="52"/>
      <c r="D275" s="52"/>
      <c r="E275" s="58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</row>
    <row r="276" spans="1:25" ht="25.5" customHeight="1">
      <c r="A276" s="52"/>
      <c r="B276" s="52"/>
      <c r="C276" s="52"/>
      <c r="D276" s="52"/>
      <c r="E276" s="58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</row>
    <row r="277" spans="1:25" ht="25.5" customHeight="1">
      <c r="A277" s="52"/>
      <c r="B277" s="52"/>
      <c r="C277" s="52"/>
      <c r="D277" s="52"/>
      <c r="E277" s="58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</row>
    <row r="278" spans="1:25" ht="25.5" customHeight="1">
      <c r="A278" s="52"/>
      <c r="B278" s="52"/>
      <c r="C278" s="52"/>
      <c r="D278" s="52"/>
      <c r="E278" s="58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</row>
    <row r="279" spans="1:25" ht="25.5" customHeight="1">
      <c r="A279" s="52"/>
      <c r="B279" s="52"/>
      <c r="C279" s="52"/>
      <c r="D279" s="52"/>
      <c r="E279" s="58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</row>
    <row r="280" spans="1:25" ht="25.5" customHeight="1">
      <c r="A280" s="52"/>
      <c r="B280" s="52"/>
      <c r="C280" s="52"/>
      <c r="D280" s="52"/>
      <c r="E280" s="58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</row>
    <row r="281" spans="1:25" ht="25.5" customHeight="1">
      <c r="A281" s="52"/>
      <c r="B281" s="52"/>
      <c r="C281" s="52"/>
      <c r="D281" s="52"/>
      <c r="E281" s="58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</row>
    <row r="282" spans="1:25" ht="25.5" customHeight="1">
      <c r="A282" s="52"/>
      <c r="B282" s="52"/>
      <c r="C282" s="52"/>
      <c r="D282" s="52"/>
      <c r="E282" s="58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</row>
    <row r="283" spans="1:25" ht="25.5" customHeight="1">
      <c r="A283" s="52"/>
      <c r="B283" s="52"/>
      <c r="C283" s="52"/>
      <c r="D283" s="52"/>
      <c r="E283" s="58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</row>
    <row r="284" spans="1:25" ht="25.5" customHeight="1">
      <c r="A284" s="52"/>
      <c r="B284" s="52"/>
      <c r="C284" s="52"/>
      <c r="D284" s="52"/>
      <c r="E284" s="58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</row>
    <row r="285" spans="1:25" ht="25.5" customHeight="1">
      <c r="A285" s="52"/>
      <c r="B285" s="52"/>
      <c r="C285" s="52"/>
      <c r="D285" s="52"/>
      <c r="E285" s="58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</row>
    <row r="286" spans="1:25" ht="25.5" customHeight="1">
      <c r="A286" s="52"/>
      <c r="B286" s="52"/>
      <c r="C286" s="52"/>
      <c r="D286" s="52"/>
      <c r="E286" s="58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</row>
    <row r="287" spans="1:25" ht="25.5" customHeight="1">
      <c r="A287" s="52"/>
      <c r="B287" s="52"/>
      <c r="C287" s="52"/>
      <c r="D287" s="52"/>
      <c r="E287" s="58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</row>
    <row r="288" spans="1:25" ht="25.5" customHeight="1">
      <c r="A288" s="52"/>
      <c r="B288" s="52"/>
      <c r="C288" s="52"/>
      <c r="D288" s="52"/>
      <c r="E288" s="58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</row>
    <row r="289" spans="1:25" ht="25.5" customHeight="1">
      <c r="A289" s="52"/>
      <c r="B289" s="52"/>
      <c r="C289" s="52"/>
      <c r="D289" s="52"/>
      <c r="E289" s="58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</row>
    <row r="290" spans="1:25" ht="25.5" customHeight="1">
      <c r="A290" s="52"/>
      <c r="B290" s="52"/>
      <c r="C290" s="52"/>
      <c r="D290" s="52"/>
      <c r="E290" s="58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</row>
    <row r="291" spans="1:25" ht="25.5" customHeight="1">
      <c r="A291" s="52"/>
      <c r="B291" s="52"/>
      <c r="C291" s="52"/>
      <c r="D291" s="52"/>
      <c r="E291" s="58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</row>
    <row r="292" spans="1:25" ht="25.5" customHeight="1">
      <c r="A292" s="52"/>
      <c r="B292" s="52"/>
      <c r="C292" s="52"/>
      <c r="D292" s="52"/>
      <c r="E292" s="58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</row>
    <row r="293" spans="1:25" ht="25.5" customHeight="1">
      <c r="A293" s="52"/>
      <c r="B293" s="52"/>
      <c r="C293" s="52"/>
      <c r="D293" s="52"/>
      <c r="E293" s="58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</row>
    <row r="294" spans="1:25" ht="25.5" customHeight="1">
      <c r="A294" s="52"/>
      <c r="B294" s="52"/>
      <c r="C294" s="52"/>
      <c r="D294" s="52"/>
      <c r="E294" s="58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</row>
    <row r="295" spans="1:25" ht="25.5" customHeight="1">
      <c r="A295" s="52"/>
      <c r="B295" s="52"/>
      <c r="C295" s="52"/>
      <c r="D295" s="52"/>
      <c r="E295" s="58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</row>
    <row r="296" spans="1:25" ht="25.5" customHeight="1">
      <c r="A296" s="52"/>
      <c r="B296" s="52"/>
      <c r="C296" s="52"/>
      <c r="D296" s="52"/>
      <c r="E296" s="58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</row>
    <row r="297" spans="1:25" ht="25.5" customHeight="1">
      <c r="A297" s="52"/>
      <c r="B297" s="52"/>
      <c r="C297" s="52"/>
      <c r="D297" s="52"/>
      <c r="E297" s="58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</row>
    <row r="298" spans="1:25" ht="25.5" customHeight="1">
      <c r="A298" s="52"/>
      <c r="B298" s="52"/>
      <c r="C298" s="52"/>
      <c r="D298" s="52"/>
      <c r="E298" s="58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</row>
    <row r="299" spans="1:25" ht="25.5" customHeight="1">
      <c r="A299" s="52"/>
      <c r="B299" s="52"/>
      <c r="C299" s="52"/>
      <c r="D299" s="52"/>
      <c r="E299" s="58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</row>
    <row r="300" spans="1:25" ht="25.5" customHeight="1">
      <c r="A300" s="52"/>
      <c r="B300" s="52"/>
      <c r="C300" s="52"/>
      <c r="D300" s="52"/>
      <c r="E300" s="58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</row>
    <row r="301" spans="1:25" ht="25.5" customHeight="1">
      <c r="A301" s="52"/>
      <c r="B301" s="52"/>
      <c r="C301" s="52"/>
      <c r="D301" s="52"/>
      <c r="E301" s="58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</row>
    <row r="302" spans="1:25" ht="25.5" customHeight="1">
      <c r="A302" s="52"/>
      <c r="B302" s="52"/>
      <c r="C302" s="52"/>
      <c r="D302" s="52"/>
      <c r="E302" s="58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</row>
    <row r="303" spans="1:25" ht="25.5" customHeight="1">
      <c r="A303" s="52"/>
      <c r="B303" s="52"/>
      <c r="C303" s="52"/>
      <c r="D303" s="52"/>
      <c r="E303" s="58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</row>
    <row r="304" spans="1:25" ht="25.5" customHeight="1">
      <c r="A304" s="52"/>
      <c r="B304" s="52"/>
      <c r="C304" s="52"/>
      <c r="D304" s="52"/>
      <c r="E304" s="58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</row>
    <row r="305" spans="1:25" ht="25.5" customHeight="1">
      <c r="A305" s="52"/>
      <c r="B305" s="52"/>
      <c r="C305" s="52"/>
      <c r="D305" s="52"/>
      <c r="E305" s="58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</row>
    <row r="306" spans="1:25" ht="25.5" customHeight="1">
      <c r="A306" s="52"/>
      <c r="B306" s="52"/>
      <c r="C306" s="52"/>
      <c r="D306" s="52"/>
      <c r="E306" s="58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</row>
    <row r="307" spans="1:25" ht="25.5" customHeight="1">
      <c r="A307" s="52"/>
      <c r="B307" s="52"/>
      <c r="C307" s="52"/>
      <c r="D307" s="52"/>
      <c r="E307" s="58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</row>
    <row r="308" spans="1:25" ht="25.5" customHeight="1">
      <c r="A308" s="52"/>
      <c r="B308" s="52"/>
      <c r="C308" s="52"/>
      <c r="D308" s="52"/>
      <c r="E308" s="58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</row>
    <row r="309" spans="1:25" ht="25.5" customHeight="1">
      <c r="A309" s="52"/>
      <c r="B309" s="52"/>
      <c r="C309" s="52"/>
      <c r="D309" s="52"/>
      <c r="E309" s="58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</row>
    <row r="310" spans="1:25" ht="25.5" customHeight="1">
      <c r="A310" s="52"/>
      <c r="B310" s="52"/>
      <c r="C310" s="52"/>
      <c r="D310" s="52"/>
      <c r="E310" s="58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</row>
    <row r="311" spans="1:25" ht="25.5" customHeight="1">
      <c r="A311" s="52"/>
      <c r="B311" s="52"/>
      <c r="C311" s="52"/>
      <c r="D311" s="52"/>
      <c r="E311" s="58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</row>
    <row r="312" spans="1:25" ht="25.5" customHeight="1">
      <c r="A312" s="52"/>
      <c r="B312" s="52"/>
      <c r="C312" s="52"/>
      <c r="D312" s="52"/>
      <c r="E312" s="58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</row>
    <row r="313" spans="1:25" ht="25.5" customHeight="1">
      <c r="A313" s="52"/>
      <c r="B313" s="52"/>
      <c r="C313" s="52"/>
      <c r="D313" s="52"/>
      <c r="E313" s="58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</row>
    <row r="314" spans="1:25" ht="25.5" customHeight="1">
      <c r="A314" s="52"/>
      <c r="B314" s="52"/>
      <c r="C314" s="52"/>
      <c r="D314" s="52"/>
      <c r="E314" s="58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</row>
    <row r="315" spans="1:25" ht="25.5" customHeight="1">
      <c r="A315" s="52"/>
      <c r="B315" s="52"/>
      <c r="C315" s="52"/>
      <c r="D315" s="52"/>
      <c r="E315" s="58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</row>
    <row r="316" spans="1:25" ht="25.5" customHeight="1">
      <c r="A316" s="52"/>
      <c r="B316" s="52"/>
      <c r="C316" s="52"/>
      <c r="D316" s="52"/>
      <c r="E316" s="58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</row>
    <row r="317" spans="1:25" ht="25.5" customHeight="1">
      <c r="A317" s="52"/>
      <c r="B317" s="52"/>
      <c r="C317" s="52"/>
      <c r="D317" s="52"/>
      <c r="E317" s="58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</row>
    <row r="318" spans="1:25" ht="25.5" customHeight="1">
      <c r="A318" s="52"/>
      <c r="B318" s="52"/>
      <c r="C318" s="52"/>
      <c r="D318" s="52"/>
      <c r="E318" s="58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</row>
    <row r="319" spans="1:25" ht="25.5" customHeight="1">
      <c r="A319" s="52"/>
      <c r="B319" s="52"/>
      <c r="C319" s="52"/>
      <c r="D319" s="52"/>
      <c r="E319" s="58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</row>
    <row r="320" spans="1:25" ht="25.5" customHeight="1">
      <c r="A320" s="52"/>
      <c r="B320" s="52"/>
      <c r="C320" s="52"/>
      <c r="D320" s="52"/>
      <c r="E320" s="58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</row>
    <row r="321" spans="1:25" ht="25.5" customHeight="1">
      <c r="A321" s="52"/>
      <c r="B321" s="52"/>
      <c r="C321" s="52"/>
      <c r="D321" s="52"/>
      <c r="E321" s="58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</row>
    <row r="322" spans="1:25" ht="25.5" customHeight="1">
      <c r="A322" s="52"/>
      <c r="B322" s="52"/>
      <c r="C322" s="52"/>
      <c r="D322" s="52"/>
      <c r="E322" s="58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</row>
    <row r="323" spans="1:25" ht="25.5" customHeight="1">
      <c r="A323" s="52"/>
      <c r="B323" s="52"/>
      <c r="C323" s="52"/>
      <c r="D323" s="52"/>
      <c r="E323" s="58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</row>
    <row r="324" spans="1:25" ht="25.5" customHeight="1">
      <c r="A324" s="52"/>
      <c r="B324" s="52"/>
      <c r="C324" s="52"/>
      <c r="D324" s="52"/>
      <c r="E324" s="58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</row>
    <row r="325" spans="1:25" ht="25.5" customHeight="1">
      <c r="A325" s="52"/>
      <c r="B325" s="52"/>
      <c r="C325" s="52"/>
      <c r="D325" s="52"/>
      <c r="E325" s="58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</row>
    <row r="326" spans="1:25" ht="25.5" customHeight="1">
      <c r="A326" s="52"/>
      <c r="B326" s="52"/>
      <c r="C326" s="52"/>
      <c r="D326" s="52"/>
      <c r="E326" s="58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</row>
    <row r="327" spans="1:25" ht="25.5" customHeight="1">
      <c r="A327" s="52"/>
      <c r="B327" s="52"/>
      <c r="C327" s="52"/>
      <c r="D327" s="52"/>
      <c r="E327" s="58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</row>
    <row r="328" spans="1:25" ht="25.5" customHeight="1">
      <c r="A328" s="52"/>
      <c r="B328" s="52"/>
      <c r="C328" s="52"/>
      <c r="D328" s="52"/>
      <c r="E328" s="58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</row>
    <row r="329" spans="1:25" ht="25.5" customHeight="1">
      <c r="A329" s="52"/>
      <c r="B329" s="52"/>
      <c r="C329" s="52"/>
      <c r="D329" s="52"/>
      <c r="E329" s="58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</row>
    <row r="330" spans="1:25" ht="25.5" customHeight="1">
      <c r="A330" s="52"/>
      <c r="B330" s="52"/>
      <c r="C330" s="52"/>
      <c r="D330" s="52"/>
      <c r="E330" s="58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</row>
    <row r="331" spans="1:25" ht="25.5" customHeight="1">
      <c r="A331" s="52"/>
      <c r="B331" s="52"/>
      <c r="C331" s="52"/>
      <c r="D331" s="52"/>
      <c r="E331" s="58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</row>
    <row r="332" spans="1:25" ht="25.5" customHeight="1">
      <c r="A332" s="52"/>
      <c r="B332" s="52"/>
      <c r="C332" s="52"/>
      <c r="D332" s="52"/>
      <c r="E332" s="58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</row>
    <row r="333" spans="1:25" ht="25.5" customHeight="1">
      <c r="A333" s="52"/>
      <c r="B333" s="52"/>
      <c r="C333" s="52"/>
      <c r="D333" s="52"/>
      <c r="E333" s="58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</row>
    <row r="334" spans="1:25" ht="25.5" customHeight="1">
      <c r="A334" s="52"/>
      <c r="B334" s="52"/>
      <c r="C334" s="52"/>
      <c r="D334" s="52"/>
      <c r="E334" s="58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</row>
    <row r="335" spans="1:25" ht="25.5" customHeight="1">
      <c r="A335" s="52"/>
      <c r="B335" s="52"/>
      <c r="C335" s="52"/>
      <c r="D335" s="52"/>
      <c r="E335" s="58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</row>
    <row r="336" spans="1:25" ht="25.5" customHeight="1">
      <c r="A336" s="52"/>
      <c r="B336" s="52"/>
      <c r="C336" s="52"/>
      <c r="D336" s="52"/>
      <c r="E336" s="58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</row>
    <row r="337" spans="1:25" ht="25.5" customHeight="1">
      <c r="A337" s="52"/>
      <c r="B337" s="52"/>
      <c r="C337" s="52"/>
      <c r="D337" s="52"/>
      <c r="E337" s="58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</row>
    <row r="338" spans="1:25" ht="25.5" customHeight="1">
      <c r="A338" s="52"/>
      <c r="B338" s="52"/>
      <c r="C338" s="52"/>
      <c r="D338" s="52"/>
      <c r="E338" s="58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</row>
    <row r="339" spans="1:25" ht="25.5" customHeight="1">
      <c r="A339" s="52"/>
      <c r="B339" s="52"/>
      <c r="C339" s="52"/>
      <c r="D339" s="52"/>
      <c r="E339" s="58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</row>
    <row r="340" spans="1:25" ht="25.5" customHeight="1">
      <c r="A340" s="52"/>
      <c r="B340" s="52"/>
      <c r="C340" s="52"/>
      <c r="D340" s="52"/>
      <c r="E340" s="58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</row>
    <row r="341" spans="1:25" ht="25.5" customHeight="1">
      <c r="A341" s="52"/>
      <c r="B341" s="52"/>
      <c r="C341" s="52"/>
      <c r="D341" s="52"/>
      <c r="E341" s="58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</row>
    <row r="342" spans="1:25" ht="25.5" customHeight="1">
      <c r="A342" s="52"/>
      <c r="B342" s="52"/>
      <c r="C342" s="52"/>
      <c r="D342" s="52"/>
      <c r="E342" s="58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</row>
    <row r="343" spans="1:25" ht="25.5" customHeight="1">
      <c r="A343" s="52"/>
      <c r="B343" s="52"/>
      <c r="C343" s="52"/>
      <c r="D343" s="52"/>
      <c r="E343" s="58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</row>
    <row r="344" spans="1:25" ht="25.5" customHeight="1">
      <c r="A344" s="52"/>
      <c r="B344" s="52"/>
      <c r="C344" s="52"/>
      <c r="D344" s="52"/>
      <c r="E344" s="58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</row>
    <row r="345" spans="1:25" ht="25.5" customHeight="1">
      <c r="A345" s="52"/>
      <c r="B345" s="52"/>
      <c r="C345" s="52"/>
      <c r="D345" s="52"/>
      <c r="E345" s="58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</row>
    <row r="346" spans="1:25" ht="25.5" customHeight="1">
      <c r="A346" s="52"/>
      <c r="B346" s="52"/>
      <c r="C346" s="52"/>
      <c r="D346" s="52"/>
      <c r="E346" s="58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</row>
    <row r="347" spans="1:25" ht="25.5" customHeight="1">
      <c r="A347" s="52"/>
      <c r="B347" s="52"/>
      <c r="C347" s="52"/>
      <c r="D347" s="52"/>
      <c r="E347" s="58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</row>
    <row r="348" spans="1:25" ht="25.5" customHeight="1">
      <c r="A348" s="52"/>
      <c r="B348" s="52"/>
      <c r="C348" s="52"/>
      <c r="D348" s="52"/>
      <c r="E348" s="58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</row>
    <row r="349" spans="1:25" ht="25.5" customHeight="1">
      <c r="A349" s="52"/>
      <c r="B349" s="52"/>
      <c r="C349" s="52"/>
      <c r="D349" s="52"/>
      <c r="E349" s="58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</row>
    <row r="350" spans="1:25" ht="25.5" customHeight="1">
      <c r="A350" s="52"/>
      <c r="B350" s="52"/>
      <c r="C350" s="52"/>
      <c r="D350" s="52"/>
      <c r="E350" s="58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</row>
    <row r="351" spans="1:25" ht="25.5" customHeight="1">
      <c r="A351" s="52"/>
      <c r="B351" s="52"/>
      <c r="C351" s="52"/>
      <c r="D351" s="52"/>
      <c r="E351" s="58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</row>
    <row r="352" spans="1:25" ht="25.5" customHeight="1">
      <c r="A352" s="52"/>
      <c r="B352" s="52"/>
      <c r="C352" s="52"/>
      <c r="D352" s="52"/>
      <c r="E352" s="58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</row>
    <row r="353" spans="1:25" ht="25.5" customHeight="1">
      <c r="A353" s="52"/>
      <c r="B353" s="52"/>
      <c r="C353" s="52"/>
      <c r="D353" s="52"/>
      <c r="E353" s="58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</row>
    <row r="354" spans="1:25" ht="25.5" customHeight="1">
      <c r="A354" s="52"/>
      <c r="B354" s="52"/>
      <c r="C354" s="52"/>
      <c r="D354" s="52"/>
      <c r="E354" s="58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</row>
    <row r="355" spans="1:25" ht="25.5" customHeight="1">
      <c r="A355" s="52"/>
      <c r="B355" s="52"/>
      <c r="C355" s="52"/>
      <c r="D355" s="52"/>
      <c r="E355" s="58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</row>
    <row r="356" spans="1:25" ht="25.5" customHeight="1">
      <c r="A356" s="52"/>
      <c r="B356" s="52"/>
      <c r="C356" s="52"/>
      <c r="D356" s="52"/>
      <c r="E356" s="58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</row>
    <row r="357" spans="1:25" ht="25.5" customHeight="1">
      <c r="A357" s="52"/>
      <c r="B357" s="52"/>
      <c r="C357" s="52"/>
      <c r="D357" s="52"/>
      <c r="E357" s="58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</row>
    <row r="358" spans="1:25" ht="25.5" customHeight="1">
      <c r="A358" s="52"/>
      <c r="B358" s="52"/>
      <c r="C358" s="52"/>
      <c r="D358" s="52"/>
      <c r="E358" s="58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</row>
    <row r="359" spans="1:25" ht="25.5" customHeight="1">
      <c r="A359" s="52"/>
      <c r="B359" s="52"/>
      <c r="C359" s="52"/>
      <c r="D359" s="52"/>
      <c r="E359" s="58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</row>
    <row r="360" spans="1:25" ht="25.5" customHeight="1">
      <c r="A360" s="52"/>
      <c r="B360" s="52"/>
      <c r="C360" s="52"/>
      <c r="D360" s="52"/>
      <c r="E360" s="58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</row>
    <row r="361" spans="1:25" ht="25.5" customHeight="1">
      <c r="A361" s="52"/>
      <c r="B361" s="52"/>
      <c r="C361" s="52"/>
      <c r="D361" s="52"/>
      <c r="E361" s="58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</row>
    <row r="362" spans="1:25" ht="25.5" customHeight="1">
      <c r="A362" s="52"/>
      <c r="B362" s="52"/>
      <c r="C362" s="52"/>
      <c r="D362" s="52"/>
      <c r="E362" s="58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</row>
    <row r="363" spans="1:25" ht="25.5" customHeight="1">
      <c r="A363" s="52"/>
      <c r="B363" s="52"/>
      <c r="C363" s="52"/>
      <c r="D363" s="52"/>
      <c r="E363" s="58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</row>
    <row r="364" spans="1:25" ht="25.5" customHeight="1">
      <c r="A364" s="52"/>
      <c r="B364" s="52"/>
      <c r="C364" s="52"/>
      <c r="D364" s="52"/>
      <c r="E364" s="58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</row>
    <row r="365" spans="1:25" ht="25.5" customHeight="1">
      <c r="A365" s="52"/>
      <c r="B365" s="52"/>
      <c r="C365" s="52"/>
      <c r="D365" s="52"/>
      <c r="E365" s="58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</row>
    <row r="366" spans="1:25" ht="25.5" customHeight="1">
      <c r="A366" s="52"/>
      <c r="B366" s="52"/>
      <c r="C366" s="52"/>
      <c r="D366" s="52"/>
      <c r="E366" s="58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</row>
    <row r="367" spans="1:25" ht="25.5" customHeight="1">
      <c r="A367" s="52"/>
      <c r="B367" s="52"/>
      <c r="C367" s="52"/>
      <c r="D367" s="52"/>
      <c r="E367" s="58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</row>
    <row r="368" spans="1:25" ht="25.5" customHeight="1">
      <c r="A368" s="52"/>
      <c r="B368" s="52"/>
      <c r="C368" s="52"/>
      <c r="D368" s="52"/>
      <c r="E368" s="58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</row>
    <row r="369" spans="1:25" ht="25.5" customHeight="1">
      <c r="A369" s="52"/>
      <c r="B369" s="52"/>
      <c r="C369" s="52"/>
      <c r="D369" s="52"/>
      <c r="E369" s="58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</row>
    <row r="370" spans="1:25" ht="25.5" customHeight="1">
      <c r="A370" s="52"/>
      <c r="B370" s="52"/>
      <c r="C370" s="52"/>
      <c r="D370" s="52"/>
      <c r="E370" s="58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</row>
    <row r="371" spans="1:25" ht="25.5" customHeight="1">
      <c r="A371" s="52"/>
      <c r="B371" s="52"/>
      <c r="C371" s="52"/>
      <c r="D371" s="52"/>
      <c r="E371" s="58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</row>
    <row r="372" spans="1:25" ht="25.5" customHeight="1">
      <c r="A372" s="52"/>
      <c r="B372" s="52"/>
      <c r="C372" s="52"/>
      <c r="D372" s="52"/>
      <c r="E372" s="58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</row>
    <row r="373" spans="1:25" ht="25.5" customHeight="1">
      <c r="A373" s="52"/>
      <c r="B373" s="52"/>
      <c r="C373" s="52"/>
      <c r="D373" s="52"/>
      <c r="E373" s="58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</row>
    <row r="374" spans="1:25" ht="25.5" customHeight="1">
      <c r="A374" s="52"/>
      <c r="B374" s="52"/>
      <c r="C374" s="52"/>
      <c r="D374" s="52"/>
      <c r="E374" s="58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</row>
    <row r="375" spans="1:25" ht="25.5" customHeight="1">
      <c r="A375" s="52"/>
      <c r="B375" s="52"/>
      <c r="C375" s="52"/>
      <c r="D375" s="52"/>
      <c r="E375" s="58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</row>
    <row r="376" spans="1:25" ht="25.5" customHeight="1">
      <c r="A376" s="52"/>
      <c r="B376" s="52"/>
      <c r="C376" s="52"/>
      <c r="D376" s="52"/>
      <c r="E376" s="58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</row>
    <row r="377" spans="1:25" ht="25.5" customHeight="1">
      <c r="A377" s="52"/>
      <c r="B377" s="52"/>
      <c r="C377" s="52"/>
      <c r="D377" s="52"/>
      <c r="E377" s="58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</row>
    <row r="378" spans="1:25" ht="25.5" customHeight="1">
      <c r="A378" s="52"/>
      <c r="B378" s="52"/>
      <c r="C378" s="52"/>
      <c r="D378" s="52"/>
      <c r="E378" s="58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</row>
    <row r="379" spans="1:25" ht="25.5" customHeight="1">
      <c r="A379" s="52"/>
      <c r="B379" s="52"/>
      <c r="C379" s="52"/>
      <c r="D379" s="52"/>
      <c r="E379" s="58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</row>
    <row r="380" spans="1:25" ht="25.5" customHeight="1">
      <c r="A380" s="52"/>
      <c r="B380" s="52"/>
      <c r="C380" s="52"/>
      <c r="D380" s="52"/>
      <c r="E380" s="58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</row>
    <row r="381" spans="1:25" ht="25.5" customHeight="1">
      <c r="A381" s="52"/>
      <c r="B381" s="52"/>
      <c r="C381" s="52"/>
      <c r="D381" s="52"/>
      <c r="E381" s="58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</row>
    <row r="382" spans="1:25" ht="25.5" customHeight="1">
      <c r="A382" s="52"/>
      <c r="B382" s="52"/>
      <c r="C382" s="52"/>
      <c r="D382" s="52"/>
      <c r="E382" s="58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</row>
    <row r="383" spans="1:25" ht="25.5" customHeight="1">
      <c r="A383" s="52"/>
      <c r="B383" s="52"/>
      <c r="C383" s="52"/>
      <c r="D383" s="52"/>
      <c r="E383" s="58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</row>
    <row r="384" spans="1:25" ht="25.5" customHeight="1">
      <c r="A384" s="52"/>
      <c r="B384" s="52"/>
      <c r="C384" s="52"/>
      <c r="D384" s="52"/>
      <c r="E384" s="58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</row>
    <row r="385" spans="1:25" ht="25.5" customHeight="1">
      <c r="A385" s="52"/>
      <c r="B385" s="52"/>
      <c r="C385" s="52"/>
      <c r="D385" s="52"/>
      <c r="E385" s="58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</row>
    <row r="386" spans="1:25" ht="25.5" customHeight="1">
      <c r="A386" s="52"/>
      <c r="B386" s="52"/>
      <c r="C386" s="52"/>
      <c r="D386" s="52"/>
      <c r="E386" s="58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</row>
    <row r="387" spans="1:25" ht="25.5" customHeight="1">
      <c r="A387" s="52"/>
      <c r="B387" s="52"/>
      <c r="C387" s="52"/>
      <c r="D387" s="52"/>
      <c r="E387" s="58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</row>
    <row r="388" spans="1:25" ht="25.5" customHeight="1">
      <c r="A388" s="52"/>
      <c r="B388" s="52"/>
      <c r="C388" s="52"/>
      <c r="D388" s="52"/>
      <c r="E388" s="58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</row>
    <row r="389" spans="1:25" ht="25.5" customHeight="1">
      <c r="A389" s="52"/>
      <c r="B389" s="52"/>
      <c r="C389" s="52"/>
      <c r="D389" s="52"/>
      <c r="E389" s="58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</row>
    <row r="390" spans="1:25" ht="25.5" customHeight="1">
      <c r="A390" s="52"/>
      <c r="B390" s="52"/>
      <c r="C390" s="52"/>
      <c r="D390" s="52"/>
      <c r="E390" s="58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</row>
    <row r="391" spans="1:25" ht="25.5" customHeight="1">
      <c r="A391" s="52"/>
      <c r="B391" s="52"/>
      <c r="C391" s="52"/>
      <c r="D391" s="52"/>
      <c r="E391" s="58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</row>
    <row r="392" spans="1:25" ht="25.5" customHeight="1">
      <c r="A392" s="52"/>
      <c r="B392" s="52"/>
      <c r="C392" s="52"/>
      <c r="D392" s="52"/>
      <c r="E392" s="58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</row>
    <row r="393" spans="1:25" ht="25.5" customHeight="1">
      <c r="A393" s="52"/>
      <c r="B393" s="52"/>
      <c r="C393" s="52"/>
      <c r="D393" s="52"/>
      <c r="E393" s="58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</row>
    <row r="394" spans="1:25" ht="25.5" customHeight="1">
      <c r="A394" s="52"/>
      <c r="B394" s="52"/>
      <c r="C394" s="52"/>
      <c r="D394" s="52"/>
      <c r="E394" s="58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</row>
    <row r="395" spans="1:25" ht="25.5" customHeight="1">
      <c r="A395" s="52"/>
      <c r="B395" s="52"/>
      <c r="C395" s="52"/>
      <c r="D395" s="52"/>
      <c r="E395" s="58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</row>
    <row r="396" spans="1:25" ht="25.5" customHeight="1">
      <c r="A396" s="52"/>
      <c r="B396" s="52"/>
      <c r="C396" s="52"/>
      <c r="D396" s="52"/>
      <c r="E396" s="58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</row>
    <row r="397" spans="1:25" ht="25.5" customHeight="1">
      <c r="A397" s="52"/>
      <c r="B397" s="52"/>
      <c r="C397" s="52"/>
      <c r="D397" s="52"/>
      <c r="E397" s="58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</row>
    <row r="398" spans="1:25" ht="25.5" customHeight="1">
      <c r="A398" s="52"/>
      <c r="B398" s="52"/>
      <c r="C398" s="52"/>
      <c r="D398" s="52"/>
      <c r="E398" s="58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</row>
    <row r="399" spans="1:25" ht="25.5" customHeight="1">
      <c r="A399" s="52"/>
      <c r="B399" s="52"/>
      <c r="C399" s="52"/>
      <c r="D399" s="52"/>
      <c r="E399" s="58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</row>
    <row r="400" spans="1:25" ht="25.5" customHeight="1">
      <c r="A400" s="52"/>
      <c r="B400" s="52"/>
      <c r="C400" s="52"/>
      <c r="D400" s="52"/>
      <c r="E400" s="58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</row>
    <row r="401" spans="1:25" ht="25.5" customHeight="1">
      <c r="A401" s="52"/>
      <c r="B401" s="52"/>
      <c r="C401" s="52"/>
      <c r="D401" s="52"/>
      <c r="E401" s="58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</row>
    <row r="402" spans="1:25" ht="25.5" customHeight="1">
      <c r="A402" s="52"/>
      <c r="B402" s="52"/>
      <c r="C402" s="52"/>
      <c r="D402" s="52"/>
      <c r="E402" s="58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</row>
    <row r="403" spans="1:25" ht="25.5" customHeight="1">
      <c r="A403" s="52"/>
      <c r="B403" s="52"/>
      <c r="C403" s="52"/>
      <c r="D403" s="52"/>
      <c r="E403" s="58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</row>
    <row r="404" spans="1:25" ht="25.5" customHeight="1">
      <c r="A404" s="52"/>
      <c r="B404" s="52"/>
      <c r="C404" s="52"/>
      <c r="D404" s="52"/>
      <c r="E404" s="58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</row>
    <row r="405" spans="1:25" ht="25.5" customHeight="1">
      <c r="A405" s="52"/>
      <c r="B405" s="52"/>
      <c r="C405" s="52"/>
      <c r="D405" s="52"/>
      <c r="E405" s="58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</row>
    <row r="406" spans="1:25" ht="25.5" customHeight="1">
      <c r="A406" s="52"/>
      <c r="B406" s="52"/>
      <c r="C406" s="52"/>
      <c r="D406" s="52"/>
      <c r="E406" s="58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</row>
    <row r="407" spans="1:25" ht="25.5" customHeight="1">
      <c r="A407" s="52"/>
      <c r="B407" s="52"/>
      <c r="C407" s="52"/>
      <c r="D407" s="52"/>
      <c r="E407" s="58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</row>
    <row r="408" spans="1:25" ht="25.5" customHeight="1">
      <c r="A408" s="52"/>
      <c r="B408" s="52"/>
      <c r="C408" s="52"/>
      <c r="D408" s="52"/>
      <c r="E408" s="58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</row>
    <row r="409" spans="1:25" ht="25.5" customHeight="1">
      <c r="A409" s="52"/>
      <c r="B409" s="52"/>
      <c r="C409" s="52"/>
      <c r="D409" s="52"/>
      <c r="E409" s="58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</row>
    <row r="410" spans="1:25" ht="25.5" customHeight="1">
      <c r="A410" s="52"/>
      <c r="B410" s="52"/>
      <c r="C410" s="52"/>
      <c r="D410" s="52"/>
      <c r="E410" s="58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</row>
    <row r="411" spans="1:25" ht="25.5" customHeight="1">
      <c r="A411" s="52"/>
      <c r="B411" s="52"/>
      <c r="C411" s="52"/>
      <c r="D411" s="52"/>
      <c r="E411" s="58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</row>
    <row r="412" spans="1:25" ht="25.5" customHeight="1">
      <c r="A412" s="52"/>
      <c r="B412" s="52"/>
      <c r="C412" s="52"/>
      <c r="D412" s="52"/>
      <c r="E412" s="58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</row>
    <row r="413" spans="1:25" ht="25.5" customHeight="1">
      <c r="A413" s="52"/>
      <c r="B413" s="52"/>
      <c r="C413" s="52"/>
      <c r="D413" s="52"/>
      <c r="E413" s="58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</row>
    <row r="414" spans="1:25" ht="25.5" customHeight="1">
      <c r="A414" s="52"/>
      <c r="B414" s="52"/>
      <c r="C414" s="52"/>
      <c r="D414" s="52"/>
      <c r="E414" s="58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</row>
    <row r="415" spans="1:25" ht="25.5" customHeight="1">
      <c r="A415" s="52"/>
      <c r="B415" s="52"/>
      <c r="C415" s="52"/>
      <c r="D415" s="52"/>
      <c r="E415" s="58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</row>
    <row r="416" spans="1:25" ht="25.5" customHeight="1">
      <c r="A416" s="52"/>
      <c r="B416" s="52"/>
      <c r="C416" s="52"/>
      <c r="D416" s="52"/>
      <c r="E416" s="58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</row>
    <row r="417" spans="1:25" ht="25.5" customHeight="1">
      <c r="A417" s="52"/>
      <c r="B417" s="52"/>
      <c r="C417" s="52"/>
      <c r="D417" s="52"/>
      <c r="E417" s="58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</row>
    <row r="418" spans="1:25" ht="25.5" customHeight="1">
      <c r="A418" s="52"/>
      <c r="B418" s="52"/>
      <c r="C418" s="52"/>
      <c r="D418" s="52"/>
      <c r="E418" s="58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</row>
    <row r="419" spans="1:25" ht="25.5" customHeight="1">
      <c r="A419" s="52"/>
      <c r="B419" s="52"/>
      <c r="C419" s="52"/>
      <c r="D419" s="52"/>
      <c r="E419" s="58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</row>
    <row r="420" spans="1:25" ht="25.5" customHeight="1">
      <c r="A420" s="52"/>
      <c r="B420" s="52"/>
      <c r="C420" s="52"/>
      <c r="D420" s="52"/>
      <c r="E420" s="58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</row>
    <row r="421" spans="1:25" ht="25.5" customHeight="1">
      <c r="A421" s="52"/>
      <c r="B421" s="52"/>
      <c r="C421" s="52"/>
      <c r="D421" s="52"/>
      <c r="E421" s="58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</row>
    <row r="422" spans="1:25" ht="25.5" customHeight="1">
      <c r="A422" s="52"/>
      <c r="B422" s="52"/>
      <c r="C422" s="52"/>
      <c r="D422" s="52"/>
      <c r="E422" s="58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</row>
    <row r="423" spans="1:25" ht="25.5" customHeight="1">
      <c r="A423" s="52"/>
      <c r="B423" s="52"/>
      <c r="C423" s="52"/>
      <c r="D423" s="52"/>
      <c r="E423" s="58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</row>
    <row r="424" spans="1:25" ht="25.5" customHeight="1">
      <c r="A424" s="52"/>
      <c r="B424" s="52"/>
      <c r="C424" s="52"/>
      <c r="D424" s="52"/>
      <c r="E424" s="58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</row>
    <row r="425" spans="1:25" ht="25.5" customHeight="1">
      <c r="A425" s="52"/>
      <c r="B425" s="52"/>
      <c r="C425" s="52"/>
      <c r="D425" s="52"/>
      <c r="E425" s="58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</row>
    <row r="426" spans="1:25" ht="25.5" customHeight="1">
      <c r="A426" s="52"/>
      <c r="B426" s="52"/>
      <c r="C426" s="52"/>
      <c r="D426" s="52"/>
      <c r="E426" s="58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</row>
    <row r="427" spans="1:25" ht="25.5" customHeight="1">
      <c r="A427" s="52"/>
      <c r="B427" s="52"/>
      <c r="C427" s="52"/>
      <c r="D427" s="52"/>
      <c r="E427" s="58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</row>
    <row r="428" spans="1:25" ht="25.5" customHeight="1">
      <c r="A428" s="52"/>
      <c r="B428" s="52"/>
      <c r="C428" s="52"/>
      <c r="D428" s="52"/>
      <c r="E428" s="58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</row>
    <row r="429" spans="1:25" ht="25.5" customHeight="1">
      <c r="A429" s="52"/>
      <c r="B429" s="52"/>
      <c r="C429" s="52"/>
      <c r="D429" s="52"/>
      <c r="E429" s="58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</row>
    <row r="430" spans="1:25" ht="25.5" customHeight="1">
      <c r="A430" s="52"/>
      <c r="B430" s="52"/>
      <c r="C430" s="52"/>
      <c r="D430" s="52"/>
      <c r="E430" s="58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</row>
    <row r="431" spans="1:25" ht="25.5" customHeight="1">
      <c r="A431" s="52"/>
      <c r="B431" s="52"/>
      <c r="C431" s="52"/>
      <c r="D431" s="52"/>
      <c r="E431" s="58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</row>
    <row r="432" spans="1:25" ht="25.5" customHeight="1">
      <c r="A432" s="52"/>
      <c r="B432" s="52"/>
      <c r="C432" s="52"/>
      <c r="D432" s="52"/>
      <c r="E432" s="58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</row>
    <row r="433" spans="1:25" ht="25.5" customHeight="1">
      <c r="A433" s="52"/>
      <c r="B433" s="52"/>
      <c r="C433" s="52"/>
      <c r="D433" s="52"/>
      <c r="E433" s="58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</row>
    <row r="434" spans="1:25" ht="25.5" customHeight="1">
      <c r="A434" s="52"/>
      <c r="B434" s="52"/>
      <c r="C434" s="52"/>
      <c r="D434" s="52"/>
      <c r="E434" s="58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</row>
    <row r="435" spans="1:25" ht="25.5" customHeight="1">
      <c r="A435" s="52"/>
      <c r="B435" s="52"/>
      <c r="C435" s="52"/>
      <c r="D435" s="52"/>
      <c r="E435" s="58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</row>
    <row r="436" spans="1:25" ht="25.5" customHeight="1">
      <c r="A436" s="52"/>
      <c r="B436" s="52"/>
      <c r="C436" s="52"/>
      <c r="D436" s="52"/>
      <c r="E436" s="58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</row>
    <row r="437" spans="1:25" ht="25.5" customHeight="1">
      <c r="A437" s="52"/>
      <c r="B437" s="52"/>
      <c r="C437" s="52"/>
      <c r="D437" s="52"/>
      <c r="E437" s="58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</row>
    <row r="438" spans="1:25" ht="25.5" customHeight="1">
      <c r="A438" s="52"/>
      <c r="B438" s="52"/>
      <c r="C438" s="52"/>
      <c r="D438" s="52"/>
      <c r="E438" s="58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</row>
    <row r="439" spans="1:25" ht="25.5" customHeight="1">
      <c r="A439" s="52"/>
      <c r="B439" s="52"/>
      <c r="C439" s="52"/>
      <c r="D439" s="52"/>
      <c r="E439" s="58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</row>
    <row r="440" spans="1:25" ht="25.5" customHeight="1">
      <c r="A440" s="52"/>
      <c r="B440" s="52"/>
      <c r="C440" s="52"/>
      <c r="D440" s="52"/>
      <c r="E440" s="58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</row>
    <row r="441" spans="1:25" ht="25.5" customHeight="1">
      <c r="A441" s="52"/>
      <c r="B441" s="52"/>
      <c r="C441" s="52"/>
      <c r="D441" s="52"/>
      <c r="E441" s="58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</row>
    <row r="442" spans="1:25" ht="25.5" customHeight="1">
      <c r="A442" s="52"/>
      <c r="B442" s="52"/>
      <c r="C442" s="52"/>
      <c r="D442" s="52"/>
      <c r="E442" s="58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</row>
    <row r="443" spans="1:25" ht="25.5" customHeight="1">
      <c r="A443" s="52"/>
      <c r="B443" s="52"/>
      <c r="C443" s="52"/>
      <c r="D443" s="52"/>
      <c r="E443" s="58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</row>
    <row r="444" spans="1:25" ht="25.5" customHeight="1">
      <c r="A444" s="52"/>
      <c r="B444" s="52"/>
      <c r="C444" s="52"/>
      <c r="D444" s="52"/>
      <c r="E444" s="58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</row>
    <row r="445" spans="1:25" ht="25.5" customHeight="1">
      <c r="A445" s="52"/>
      <c r="B445" s="52"/>
      <c r="C445" s="52"/>
      <c r="D445" s="52"/>
      <c r="E445" s="58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</row>
    <row r="446" spans="1:25" ht="25.5" customHeight="1">
      <c r="A446" s="52"/>
      <c r="B446" s="52"/>
      <c r="C446" s="52"/>
      <c r="D446" s="52"/>
      <c r="E446" s="58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</row>
    <row r="447" spans="1:25" ht="25.5" customHeight="1">
      <c r="A447" s="52"/>
      <c r="B447" s="52"/>
      <c r="C447" s="52"/>
      <c r="D447" s="52"/>
      <c r="E447" s="58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</row>
    <row r="448" spans="1:25" ht="25.5" customHeight="1">
      <c r="A448" s="52"/>
      <c r="B448" s="52"/>
      <c r="C448" s="52"/>
      <c r="D448" s="52"/>
      <c r="E448" s="58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</row>
    <row r="449" spans="1:25" ht="25.5" customHeight="1">
      <c r="A449" s="52"/>
      <c r="B449" s="52"/>
      <c r="C449" s="52"/>
      <c r="D449" s="52"/>
      <c r="E449" s="58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</row>
    <row r="450" spans="1:25" ht="25.5" customHeight="1">
      <c r="A450" s="52"/>
      <c r="B450" s="52"/>
      <c r="C450" s="52"/>
      <c r="D450" s="52"/>
      <c r="E450" s="58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</row>
    <row r="451" spans="1:25" ht="25.5" customHeight="1">
      <c r="A451" s="52"/>
      <c r="B451" s="52"/>
      <c r="C451" s="52"/>
      <c r="D451" s="52"/>
      <c r="E451" s="58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</row>
    <row r="452" spans="1:25" ht="25.5" customHeight="1">
      <c r="A452" s="52"/>
      <c r="B452" s="52"/>
      <c r="C452" s="52"/>
      <c r="D452" s="52"/>
      <c r="E452" s="58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</row>
    <row r="453" spans="1:25" ht="25.5" customHeight="1">
      <c r="A453" s="52"/>
      <c r="B453" s="52"/>
      <c r="C453" s="52"/>
      <c r="D453" s="52"/>
      <c r="E453" s="58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</row>
    <row r="454" spans="1:25" ht="25.5" customHeight="1">
      <c r="A454" s="52"/>
      <c r="B454" s="52"/>
      <c r="C454" s="52"/>
      <c r="D454" s="52"/>
      <c r="E454" s="58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</row>
    <row r="455" spans="1:25" ht="25.5" customHeight="1">
      <c r="A455" s="52"/>
      <c r="B455" s="52"/>
      <c r="C455" s="52"/>
      <c r="D455" s="52"/>
      <c r="E455" s="58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</row>
    <row r="456" spans="1:25" ht="25.5" customHeight="1">
      <c r="A456" s="52"/>
      <c r="B456" s="52"/>
      <c r="C456" s="52"/>
      <c r="D456" s="52"/>
      <c r="E456" s="58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</row>
    <row r="457" spans="1:25" ht="25.5" customHeight="1">
      <c r="A457" s="52"/>
      <c r="B457" s="52"/>
      <c r="C457" s="52"/>
      <c r="D457" s="52"/>
      <c r="E457" s="58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</row>
    <row r="458" spans="1:25" ht="25.5" customHeight="1">
      <c r="A458" s="52"/>
      <c r="B458" s="52"/>
      <c r="C458" s="52"/>
      <c r="D458" s="52"/>
      <c r="E458" s="58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</row>
    <row r="459" spans="1:25" ht="25.5" customHeight="1">
      <c r="A459" s="52"/>
      <c r="B459" s="52"/>
      <c r="C459" s="52"/>
      <c r="D459" s="52"/>
      <c r="E459" s="58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</row>
    <row r="460" spans="1:25" ht="25.5" customHeight="1">
      <c r="A460" s="52"/>
      <c r="B460" s="52"/>
      <c r="C460" s="52"/>
      <c r="D460" s="52"/>
      <c r="E460" s="58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</row>
    <row r="461" spans="1:25" ht="25.5" customHeight="1">
      <c r="A461" s="52"/>
      <c r="B461" s="52"/>
      <c r="C461" s="52"/>
      <c r="D461" s="52"/>
      <c r="E461" s="58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</row>
    <row r="462" spans="1:25" ht="25.5" customHeight="1">
      <c r="A462" s="52"/>
      <c r="B462" s="52"/>
      <c r="C462" s="52"/>
      <c r="D462" s="52"/>
      <c r="E462" s="58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</row>
    <row r="463" spans="1:25" ht="25.5" customHeight="1">
      <c r="A463" s="52"/>
      <c r="B463" s="52"/>
      <c r="C463" s="52"/>
      <c r="D463" s="52"/>
      <c r="E463" s="58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</row>
    <row r="464" spans="1:25" ht="25.5" customHeight="1">
      <c r="A464" s="52"/>
      <c r="B464" s="52"/>
      <c r="C464" s="52"/>
      <c r="D464" s="52"/>
      <c r="E464" s="58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</row>
    <row r="465" spans="1:25" ht="25.5" customHeight="1">
      <c r="A465" s="52"/>
      <c r="B465" s="52"/>
      <c r="C465" s="52"/>
      <c r="D465" s="52"/>
      <c r="E465" s="58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</row>
    <row r="466" spans="1:25" ht="25.5" customHeight="1">
      <c r="A466" s="52"/>
      <c r="B466" s="52"/>
      <c r="C466" s="52"/>
      <c r="D466" s="52"/>
      <c r="E466" s="58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</row>
    <row r="467" spans="1:25" ht="25.5" customHeight="1">
      <c r="A467" s="52"/>
      <c r="B467" s="52"/>
      <c r="C467" s="52"/>
      <c r="D467" s="52"/>
      <c r="E467" s="58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</row>
    <row r="468" spans="1:25" ht="25.5" customHeight="1">
      <c r="A468" s="52"/>
      <c r="B468" s="52"/>
      <c r="C468" s="52"/>
      <c r="D468" s="52"/>
      <c r="E468" s="58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</row>
    <row r="469" spans="1:25" ht="25.5" customHeight="1">
      <c r="A469" s="52"/>
      <c r="B469" s="52"/>
      <c r="C469" s="52"/>
      <c r="D469" s="52"/>
      <c r="E469" s="58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</row>
    <row r="470" spans="1:25" ht="25.5" customHeight="1">
      <c r="A470" s="52"/>
      <c r="B470" s="52"/>
      <c r="C470" s="52"/>
      <c r="D470" s="52"/>
      <c r="E470" s="58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</row>
    <row r="471" spans="1:25" ht="25.5" customHeight="1">
      <c r="A471" s="52"/>
      <c r="B471" s="52"/>
      <c r="C471" s="52"/>
      <c r="D471" s="52"/>
      <c r="E471" s="58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</row>
    <row r="472" spans="1:25" ht="25.5" customHeight="1">
      <c r="A472" s="52"/>
      <c r="B472" s="52"/>
      <c r="C472" s="52"/>
      <c r="D472" s="52"/>
      <c r="E472" s="58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</row>
    <row r="473" spans="1:25" ht="25.5" customHeight="1">
      <c r="A473" s="52"/>
      <c r="B473" s="52"/>
      <c r="C473" s="52"/>
      <c r="D473" s="52"/>
      <c r="E473" s="58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</row>
    <row r="474" spans="1:25" ht="25.5" customHeight="1">
      <c r="A474" s="52"/>
      <c r="B474" s="52"/>
      <c r="C474" s="52"/>
      <c r="D474" s="52"/>
      <c r="E474" s="58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</row>
    <row r="475" spans="1:25" ht="25.5" customHeight="1">
      <c r="A475" s="52"/>
      <c r="B475" s="52"/>
      <c r="C475" s="52"/>
      <c r="D475" s="52"/>
      <c r="E475" s="58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</row>
    <row r="476" spans="1:25" ht="25.5" customHeight="1">
      <c r="A476" s="52"/>
      <c r="B476" s="52"/>
      <c r="C476" s="52"/>
      <c r="D476" s="52"/>
      <c r="E476" s="58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</row>
    <row r="477" spans="1:25" ht="25.5" customHeight="1">
      <c r="A477" s="52"/>
      <c r="B477" s="52"/>
      <c r="C477" s="52"/>
      <c r="D477" s="52"/>
      <c r="E477" s="58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</row>
    <row r="478" spans="1:25" ht="25.5" customHeight="1">
      <c r="A478" s="52"/>
      <c r="B478" s="52"/>
      <c r="C478" s="52"/>
      <c r="D478" s="52"/>
      <c r="E478" s="58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</row>
    <row r="479" spans="1:25" ht="25.5" customHeight="1">
      <c r="A479" s="52"/>
      <c r="B479" s="52"/>
      <c r="C479" s="52"/>
      <c r="D479" s="52"/>
      <c r="E479" s="58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</row>
    <row r="480" spans="1:25" ht="25.5" customHeight="1">
      <c r="A480" s="52"/>
      <c r="B480" s="52"/>
      <c r="C480" s="52"/>
      <c r="D480" s="52"/>
      <c r="E480" s="58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</row>
    <row r="481" spans="1:25" ht="25.5" customHeight="1">
      <c r="A481" s="52"/>
      <c r="B481" s="52"/>
      <c r="C481" s="52"/>
      <c r="D481" s="52"/>
      <c r="E481" s="58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</row>
    <row r="482" spans="1:25" ht="25.5" customHeight="1">
      <c r="A482" s="52"/>
      <c r="B482" s="52"/>
      <c r="C482" s="52"/>
      <c r="D482" s="52"/>
      <c r="E482" s="58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</row>
    <row r="483" spans="1:25" ht="25.5" customHeight="1">
      <c r="A483" s="52"/>
      <c r="B483" s="52"/>
      <c r="C483" s="52"/>
      <c r="D483" s="52"/>
      <c r="E483" s="58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</row>
    <row r="484" spans="1:25" ht="25.5" customHeight="1">
      <c r="A484" s="52"/>
      <c r="B484" s="52"/>
      <c r="C484" s="52"/>
      <c r="D484" s="52"/>
      <c r="E484" s="58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</row>
    <row r="485" spans="1:25" ht="25.5" customHeight="1">
      <c r="A485" s="52"/>
      <c r="B485" s="52"/>
      <c r="C485" s="52"/>
      <c r="D485" s="52"/>
      <c r="E485" s="58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</row>
    <row r="486" spans="1:25" ht="25.5" customHeight="1">
      <c r="A486" s="52"/>
      <c r="B486" s="52"/>
      <c r="C486" s="52"/>
      <c r="D486" s="52"/>
      <c r="E486" s="58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</row>
    <row r="487" spans="1:25" ht="25.5" customHeight="1">
      <c r="A487" s="52"/>
      <c r="B487" s="52"/>
      <c r="C487" s="52"/>
      <c r="D487" s="52"/>
      <c r="E487" s="58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</row>
    <row r="488" spans="1:25" ht="25.5" customHeight="1">
      <c r="A488" s="52"/>
      <c r="B488" s="52"/>
      <c r="C488" s="52"/>
      <c r="D488" s="52"/>
      <c r="E488" s="58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</row>
    <row r="489" spans="1:25" ht="25.5" customHeight="1">
      <c r="A489" s="52"/>
      <c r="B489" s="52"/>
      <c r="C489" s="52"/>
      <c r="D489" s="52"/>
      <c r="E489" s="58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</row>
    <row r="490" spans="1:25" ht="25.5" customHeight="1">
      <c r="A490" s="52"/>
      <c r="B490" s="52"/>
      <c r="C490" s="52"/>
      <c r="D490" s="52"/>
      <c r="E490" s="58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</row>
    <row r="491" spans="1:25" ht="25.5" customHeight="1">
      <c r="A491" s="52"/>
      <c r="B491" s="52"/>
      <c r="C491" s="52"/>
      <c r="D491" s="52"/>
      <c r="E491" s="58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</row>
    <row r="492" spans="1:25" ht="25.5" customHeight="1">
      <c r="A492" s="52"/>
      <c r="B492" s="52"/>
      <c r="C492" s="52"/>
      <c r="D492" s="52"/>
      <c r="E492" s="58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</row>
    <row r="493" spans="1:25" ht="25.5" customHeight="1">
      <c r="A493" s="52"/>
      <c r="B493" s="52"/>
      <c r="C493" s="52"/>
      <c r="D493" s="52"/>
      <c r="E493" s="58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</row>
    <row r="494" spans="1:25" ht="25.5" customHeight="1">
      <c r="A494" s="52"/>
      <c r="B494" s="52"/>
      <c r="C494" s="52"/>
      <c r="D494" s="52"/>
      <c r="E494" s="58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</row>
    <row r="495" spans="1:25" ht="25.5" customHeight="1">
      <c r="A495" s="52"/>
      <c r="B495" s="52"/>
      <c r="C495" s="52"/>
      <c r="D495" s="52"/>
      <c r="E495" s="58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</row>
    <row r="496" spans="1:25" ht="25.5" customHeight="1">
      <c r="A496" s="52"/>
      <c r="B496" s="52"/>
      <c r="C496" s="52"/>
      <c r="D496" s="52"/>
      <c r="E496" s="58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</row>
    <row r="497" spans="1:25" ht="25.5" customHeight="1">
      <c r="A497" s="52"/>
      <c r="B497" s="52"/>
      <c r="C497" s="52"/>
      <c r="D497" s="52"/>
      <c r="E497" s="58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</row>
    <row r="498" spans="1:25" ht="25.5" customHeight="1">
      <c r="A498" s="52"/>
      <c r="B498" s="52"/>
      <c r="C498" s="52"/>
      <c r="D498" s="52"/>
      <c r="E498" s="58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</row>
    <row r="499" spans="1:25" ht="25.5" customHeight="1">
      <c r="A499" s="52"/>
      <c r="B499" s="52"/>
      <c r="C499" s="52"/>
      <c r="D499" s="52"/>
      <c r="E499" s="58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</row>
    <row r="500" spans="1:25" ht="25.5" customHeight="1">
      <c r="A500" s="52"/>
      <c r="B500" s="52"/>
      <c r="C500" s="52"/>
      <c r="D500" s="52"/>
      <c r="E500" s="58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</row>
    <row r="501" spans="1:25" ht="25.5" customHeight="1">
      <c r="A501" s="52"/>
      <c r="B501" s="52"/>
      <c r="C501" s="52"/>
      <c r="D501" s="52"/>
      <c r="E501" s="58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</row>
    <row r="502" spans="1:25" ht="25.5" customHeight="1">
      <c r="A502" s="52"/>
      <c r="B502" s="52"/>
      <c r="C502" s="52"/>
      <c r="D502" s="52"/>
      <c r="E502" s="58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</row>
    <row r="503" spans="1:25" ht="25.5" customHeight="1">
      <c r="A503" s="52"/>
      <c r="B503" s="52"/>
      <c r="C503" s="52"/>
      <c r="D503" s="52"/>
      <c r="E503" s="58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</row>
    <row r="504" spans="1:25" ht="25.5" customHeight="1">
      <c r="A504" s="52"/>
      <c r="B504" s="52"/>
      <c r="C504" s="52"/>
      <c r="D504" s="52"/>
      <c r="E504" s="58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</row>
    <row r="505" spans="1:25" ht="25.5" customHeight="1">
      <c r="A505" s="52"/>
      <c r="B505" s="52"/>
      <c r="C505" s="52"/>
      <c r="D505" s="52"/>
      <c r="E505" s="58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</row>
    <row r="506" spans="1:25" ht="25.5" customHeight="1">
      <c r="A506" s="52"/>
      <c r="B506" s="52"/>
      <c r="C506" s="52"/>
      <c r="D506" s="52"/>
      <c r="E506" s="58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</row>
    <row r="507" spans="1:25" ht="25.5" customHeight="1">
      <c r="A507" s="52"/>
      <c r="B507" s="52"/>
      <c r="C507" s="52"/>
      <c r="D507" s="52"/>
      <c r="E507" s="58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</row>
    <row r="508" spans="1:25" ht="25.5" customHeight="1">
      <c r="A508" s="52"/>
      <c r="B508" s="52"/>
      <c r="C508" s="52"/>
      <c r="D508" s="52"/>
      <c r="E508" s="58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</row>
    <row r="509" spans="1:25" ht="25.5" customHeight="1">
      <c r="A509" s="52"/>
      <c r="B509" s="52"/>
      <c r="C509" s="52"/>
      <c r="D509" s="52"/>
      <c r="E509" s="58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</row>
    <row r="510" spans="1:25" ht="25.5" customHeight="1">
      <c r="A510" s="52"/>
      <c r="B510" s="52"/>
      <c r="C510" s="52"/>
      <c r="D510" s="52"/>
      <c r="E510" s="58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</row>
    <row r="511" spans="1:25" ht="25.5" customHeight="1">
      <c r="A511" s="52"/>
      <c r="B511" s="52"/>
      <c r="C511" s="52"/>
      <c r="D511" s="52"/>
      <c r="E511" s="58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</row>
    <row r="512" spans="1:25" ht="25.5" customHeight="1">
      <c r="A512" s="52"/>
      <c r="B512" s="52"/>
      <c r="C512" s="52"/>
      <c r="D512" s="52"/>
      <c r="E512" s="58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</row>
    <row r="513" spans="1:25" ht="25.5" customHeight="1">
      <c r="A513" s="52"/>
      <c r="B513" s="52"/>
      <c r="C513" s="52"/>
      <c r="D513" s="52"/>
      <c r="E513" s="58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</row>
    <row r="514" spans="1:25" ht="25.5" customHeight="1">
      <c r="A514" s="52"/>
      <c r="B514" s="52"/>
      <c r="C514" s="52"/>
      <c r="D514" s="52"/>
      <c r="E514" s="58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</row>
    <row r="515" spans="1:25" ht="25.5" customHeight="1">
      <c r="A515" s="52"/>
      <c r="B515" s="52"/>
      <c r="C515" s="52"/>
      <c r="D515" s="52"/>
      <c r="E515" s="58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</row>
    <row r="516" spans="1:25" ht="25.5" customHeight="1">
      <c r="A516" s="52"/>
      <c r="B516" s="52"/>
      <c r="C516" s="52"/>
      <c r="D516" s="52"/>
      <c r="E516" s="58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</row>
    <row r="517" spans="1:25" ht="25.5" customHeight="1">
      <c r="A517" s="52"/>
      <c r="B517" s="52"/>
      <c r="C517" s="52"/>
      <c r="D517" s="52"/>
      <c r="E517" s="58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</row>
    <row r="518" spans="1:25" ht="25.5" customHeight="1">
      <c r="A518" s="52"/>
      <c r="B518" s="52"/>
      <c r="C518" s="52"/>
      <c r="D518" s="52"/>
      <c r="E518" s="58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</row>
    <row r="519" spans="1:25" ht="25.5" customHeight="1">
      <c r="A519" s="52"/>
      <c r="B519" s="52"/>
      <c r="C519" s="52"/>
      <c r="D519" s="52"/>
      <c r="E519" s="58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</row>
    <row r="520" spans="1:25" ht="25.5" customHeight="1">
      <c r="A520" s="52"/>
      <c r="B520" s="52"/>
      <c r="C520" s="52"/>
      <c r="D520" s="52"/>
      <c r="E520" s="58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</row>
    <row r="521" spans="1:25" ht="25.5" customHeight="1">
      <c r="A521" s="52"/>
      <c r="B521" s="52"/>
      <c r="C521" s="52"/>
      <c r="D521" s="52"/>
      <c r="E521" s="58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</row>
    <row r="522" spans="1:25" ht="25.5" customHeight="1">
      <c r="A522" s="52"/>
      <c r="B522" s="52"/>
      <c r="C522" s="52"/>
      <c r="D522" s="52"/>
      <c r="E522" s="58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</row>
    <row r="523" spans="1:25" ht="25.5" customHeight="1">
      <c r="A523" s="52"/>
      <c r="B523" s="52"/>
      <c r="C523" s="52"/>
      <c r="D523" s="52"/>
      <c r="E523" s="58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</row>
    <row r="524" spans="1:25" ht="25.5" customHeight="1">
      <c r="A524" s="52"/>
      <c r="B524" s="52"/>
      <c r="C524" s="52"/>
      <c r="D524" s="52"/>
      <c r="E524" s="58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</row>
    <row r="525" spans="1:25" ht="25.5" customHeight="1">
      <c r="A525" s="52"/>
      <c r="B525" s="52"/>
      <c r="C525" s="52"/>
      <c r="D525" s="52"/>
      <c r="E525" s="58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</row>
    <row r="526" spans="1:25" ht="25.5" customHeight="1">
      <c r="A526" s="52"/>
      <c r="B526" s="52"/>
      <c r="C526" s="52"/>
      <c r="D526" s="52"/>
      <c r="E526" s="58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</row>
    <row r="527" spans="1:25" ht="25.5" customHeight="1">
      <c r="A527" s="52"/>
      <c r="B527" s="52"/>
      <c r="C527" s="52"/>
      <c r="D527" s="52"/>
      <c r="E527" s="58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</row>
    <row r="528" spans="1:25" ht="25.5" customHeight="1">
      <c r="A528" s="52"/>
      <c r="B528" s="52"/>
      <c r="C528" s="52"/>
      <c r="D528" s="52"/>
      <c r="E528" s="58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</row>
    <row r="529" spans="1:25" ht="25.5" customHeight="1">
      <c r="A529" s="52"/>
      <c r="B529" s="52"/>
      <c r="C529" s="52"/>
      <c r="D529" s="52"/>
      <c r="E529" s="58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</row>
    <row r="530" spans="1:25" ht="25.5" customHeight="1">
      <c r="A530" s="52"/>
      <c r="B530" s="52"/>
      <c r="C530" s="52"/>
      <c r="D530" s="52"/>
      <c r="E530" s="58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</row>
    <row r="531" spans="1:25" ht="25.5" customHeight="1">
      <c r="A531" s="52"/>
      <c r="B531" s="52"/>
      <c r="C531" s="52"/>
      <c r="D531" s="52"/>
      <c r="E531" s="58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</row>
    <row r="532" spans="1:25" ht="25.5" customHeight="1">
      <c r="A532" s="52"/>
      <c r="B532" s="52"/>
      <c r="C532" s="52"/>
      <c r="D532" s="52"/>
      <c r="E532" s="58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</row>
    <row r="533" spans="1:25" ht="25.5" customHeight="1">
      <c r="A533" s="52"/>
      <c r="B533" s="52"/>
      <c r="C533" s="52"/>
      <c r="D533" s="52"/>
      <c r="E533" s="58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</row>
    <row r="534" spans="1:25" ht="25.5" customHeight="1">
      <c r="A534" s="52"/>
      <c r="B534" s="52"/>
      <c r="C534" s="52"/>
      <c r="D534" s="52"/>
      <c r="E534" s="58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</row>
    <row r="535" spans="1:25" ht="25.5" customHeight="1">
      <c r="A535" s="52"/>
      <c r="B535" s="52"/>
      <c r="C535" s="52"/>
      <c r="D535" s="52"/>
      <c r="E535" s="58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</row>
    <row r="536" spans="1:25" ht="25.5" customHeight="1">
      <c r="A536" s="52"/>
      <c r="B536" s="52"/>
      <c r="C536" s="52"/>
      <c r="D536" s="52"/>
      <c r="E536" s="58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</row>
    <row r="537" spans="1:25" ht="25.5" customHeight="1">
      <c r="A537" s="52"/>
      <c r="B537" s="52"/>
      <c r="C537" s="52"/>
      <c r="D537" s="52"/>
      <c r="E537" s="58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</row>
    <row r="538" spans="1:25" ht="25.5" customHeight="1">
      <c r="A538" s="52"/>
      <c r="B538" s="52"/>
      <c r="C538" s="52"/>
      <c r="D538" s="52"/>
      <c r="E538" s="58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</row>
    <row r="539" spans="1:25" ht="25.5" customHeight="1">
      <c r="A539" s="52"/>
      <c r="B539" s="52"/>
      <c r="C539" s="52"/>
      <c r="D539" s="52"/>
      <c r="E539" s="58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</row>
    <row r="540" spans="1:25" ht="25.5" customHeight="1">
      <c r="A540" s="52"/>
      <c r="B540" s="52"/>
      <c r="C540" s="52"/>
      <c r="D540" s="52"/>
      <c r="E540" s="58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</row>
    <row r="541" spans="1:25" ht="25.5" customHeight="1">
      <c r="A541" s="52"/>
      <c r="B541" s="52"/>
      <c r="C541" s="52"/>
      <c r="D541" s="52"/>
      <c r="E541" s="58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</row>
    <row r="542" spans="1:25" ht="25.5" customHeight="1">
      <c r="A542" s="52"/>
      <c r="B542" s="52"/>
      <c r="C542" s="52"/>
      <c r="D542" s="52"/>
      <c r="E542" s="58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</row>
    <row r="543" spans="1:25" ht="25.5" customHeight="1">
      <c r="A543" s="52"/>
      <c r="B543" s="52"/>
      <c r="C543" s="52"/>
      <c r="D543" s="52"/>
      <c r="E543" s="58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</row>
    <row r="544" spans="1:25" ht="25.5" customHeight="1">
      <c r="A544" s="52"/>
      <c r="B544" s="52"/>
      <c r="C544" s="52"/>
      <c r="D544" s="52"/>
      <c r="E544" s="58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</row>
    <row r="545" spans="1:25" ht="25.5" customHeight="1">
      <c r="A545" s="52"/>
      <c r="B545" s="52"/>
      <c r="C545" s="52"/>
      <c r="D545" s="52"/>
      <c r="E545" s="58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</row>
    <row r="546" spans="1:25" ht="25.5" customHeight="1">
      <c r="A546" s="52"/>
      <c r="B546" s="52"/>
      <c r="C546" s="52"/>
      <c r="D546" s="52"/>
      <c r="E546" s="58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</row>
    <row r="547" spans="1:25" ht="25.5" customHeight="1">
      <c r="A547" s="52"/>
      <c r="B547" s="52"/>
      <c r="C547" s="52"/>
      <c r="D547" s="52"/>
      <c r="E547" s="58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</row>
    <row r="548" spans="1:25" ht="25.5" customHeight="1">
      <c r="A548" s="52"/>
      <c r="B548" s="52"/>
      <c r="C548" s="52"/>
      <c r="D548" s="52"/>
      <c r="E548" s="58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</row>
    <row r="549" spans="1:25" ht="25.5" customHeight="1">
      <c r="A549" s="52"/>
      <c r="B549" s="52"/>
      <c r="C549" s="52"/>
      <c r="D549" s="52"/>
      <c r="E549" s="58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</row>
    <row r="550" spans="1:25" ht="25.5" customHeight="1">
      <c r="A550" s="52"/>
      <c r="B550" s="52"/>
      <c r="C550" s="52"/>
      <c r="D550" s="52"/>
      <c r="E550" s="58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</row>
    <row r="551" spans="1:25" ht="25.5" customHeight="1">
      <c r="A551" s="52"/>
      <c r="B551" s="52"/>
      <c r="C551" s="52"/>
      <c r="D551" s="52"/>
      <c r="E551" s="58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</row>
    <row r="552" spans="1:25" ht="25.5" customHeight="1">
      <c r="A552" s="52"/>
      <c r="B552" s="52"/>
      <c r="C552" s="52"/>
      <c r="D552" s="52"/>
      <c r="E552" s="58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</row>
    <row r="553" spans="1:25" ht="25.5" customHeight="1">
      <c r="A553" s="52"/>
      <c r="B553" s="52"/>
      <c r="C553" s="52"/>
      <c r="D553" s="52"/>
      <c r="E553" s="58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</row>
    <row r="554" spans="1:25" ht="25.5" customHeight="1">
      <c r="A554" s="52"/>
      <c r="B554" s="52"/>
      <c r="C554" s="52"/>
      <c r="D554" s="52"/>
      <c r="E554" s="58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</row>
    <row r="555" spans="1:25" ht="25.5" customHeight="1">
      <c r="A555" s="52"/>
      <c r="B555" s="52"/>
      <c r="C555" s="52"/>
      <c r="D555" s="52"/>
      <c r="E555" s="58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</row>
    <row r="556" spans="1:25" ht="25.5" customHeight="1">
      <c r="A556" s="52"/>
      <c r="B556" s="52"/>
      <c r="C556" s="52"/>
      <c r="D556" s="52"/>
      <c r="E556" s="58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</row>
    <row r="557" spans="1:25" ht="25.5" customHeight="1">
      <c r="A557" s="52"/>
      <c r="B557" s="52"/>
      <c r="C557" s="52"/>
      <c r="D557" s="52"/>
      <c r="E557" s="58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</row>
    <row r="558" spans="1:25" ht="25.5" customHeight="1">
      <c r="A558" s="52"/>
      <c r="B558" s="52"/>
      <c r="C558" s="52"/>
      <c r="D558" s="52"/>
      <c r="E558" s="58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</row>
    <row r="559" spans="1:25" ht="25.5" customHeight="1">
      <c r="A559" s="52"/>
      <c r="B559" s="52"/>
      <c r="C559" s="52"/>
      <c r="D559" s="52"/>
      <c r="E559" s="58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</row>
    <row r="560" spans="1:25" ht="25.5" customHeight="1">
      <c r="A560" s="52"/>
      <c r="B560" s="52"/>
      <c r="C560" s="52"/>
      <c r="D560" s="52"/>
      <c r="E560" s="58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</row>
    <row r="561" spans="1:25" ht="25.5" customHeight="1">
      <c r="A561" s="52"/>
      <c r="B561" s="52"/>
      <c r="C561" s="52"/>
      <c r="D561" s="52"/>
      <c r="E561" s="58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</row>
    <row r="562" spans="1:25" ht="25.5" customHeight="1">
      <c r="A562" s="52"/>
      <c r="B562" s="52"/>
      <c r="C562" s="52"/>
      <c r="D562" s="52"/>
      <c r="E562" s="58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</row>
    <row r="563" spans="1:25" ht="25.5" customHeight="1">
      <c r="A563" s="52"/>
      <c r="B563" s="52"/>
      <c r="C563" s="52"/>
      <c r="D563" s="52"/>
      <c r="E563" s="58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</row>
    <row r="564" spans="1:25" ht="25.5" customHeight="1">
      <c r="A564" s="52"/>
      <c r="B564" s="52"/>
      <c r="C564" s="52"/>
      <c r="D564" s="52"/>
      <c r="E564" s="58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</row>
    <row r="565" spans="1:25" ht="25.5" customHeight="1">
      <c r="A565" s="52"/>
      <c r="B565" s="52"/>
      <c r="C565" s="52"/>
      <c r="D565" s="52"/>
      <c r="E565" s="58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</row>
    <row r="566" spans="1:25" ht="25.5" customHeight="1">
      <c r="A566" s="52"/>
      <c r="B566" s="52"/>
      <c r="C566" s="52"/>
      <c r="D566" s="52"/>
      <c r="E566" s="58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</row>
    <row r="567" spans="1:25" ht="25.5" customHeight="1">
      <c r="A567" s="52"/>
      <c r="B567" s="52"/>
      <c r="C567" s="52"/>
      <c r="D567" s="52"/>
      <c r="E567" s="58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</row>
    <row r="568" spans="1:25" ht="25.5" customHeight="1">
      <c r="A568" s="52"/>
      <c r="B568" s="52"/>
      <c r="C568" s="52"/>
      <c r="D568" s="52"/>
      <c r="E568" s="58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</row>
    <row r="569" spans="1:25" ht="25.5" customHeight="1">
      <c r="A569" s="52"/>
      <c r="B569" s="52"/>
      <c r="C569" s="52"/>
      <c r="D569" s="52"/>
      <c r="E569" s="58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</row>
    <row r="570" spans="1:25" ht="25.5" customHeight="1">
      <c r="A570" s="52"/>
      <c r="B570" s="52"/>
      <c r="C570" s="52"/>
      <c r="D570" s="52"/>
      <c r="E570" s="58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</row>
    <row r="571" spans="1:25" ht="25.5" customHeight="1">
      <c r="A571" s="52"/>
      <c r="B571" s="52"/>
      <c r="C571" s="52"/>
      <c r="D571" s="52"/>
      <c r="E571" s="58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</row>
    <row r="572" spans="1:25" ht="25.5" customHeight="1">
      <c r="A572" s="52"/>
      <c r="B572" s="52"/>
      <c r="C572" s="52"/>
      <c r="D572" s="52"/>
      <c r="E572" s="58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</row>
    <row r="573" spans="1:25" ht="25.5" customHeight="1">
      <c r="A573" s="52"/>
      <c r="B573" s="52"/>
      <c r="C573" s="52"/>
      <c r="D573" s="52"/>
      <c r="E573" s="58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</row>
    <row r="574" spans="1:25" ht="25.5" customHeight="1">
      <c r="A574" s="52"/>
      <c r="B574" s="52"/>
      <c r="C574" s="52"/>
      <c r="D574" s="52"/>
      <c r="E574" s="58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</row>
    <row r="575" spans="1:25" ht="25.5" customHeight="1">
      <c r="A575" s="52"/>
      <c r="B575" s="52"/>
      <c r="C575" s="52"/>
      <c r="D575" s="52"/>
      <c r="E575" s="58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</row>
    <row r="576" spans="1:25" ht="25.5" customHeight="1">
      <c r="A576" s="52"/>
      <c r="B576" s="52"/>
      <c r="C576" s="52"/>
      <c r="D576" s="52"/>
      <c r="E576" s="58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</row>
    <row r="577" spans="1:25" ht="25.5" customHeight="1">
      <c r="A577" s="52"/>
      <c r="B577" s="52"/>
      <c r="C577" s="52"/>
      <c r="D577" s="52"/>
      <c r="E577" s="58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</row>
    <row r="578" spans="1:25" ht="25.5" customHeight="1">
      <c r="A578" s="52"/>
      <c r="B578" s="52"/>
      <c r="C578" s="52"/>
      <c r="D578" s="52"/>
      <c r="E578" s="58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</row>
    <row r="579" spans="1:25" ht="25.5" customHeight="1">
      <c r="A579" s="52"/>
      <c r="B579" s="52"/>
      <c r="C579" s="52"/>
      <c r="D579" s="52"/>
      <c r="E579" s="58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</row>
    <row r="580" spans="1:25" ht="25.5" customHeight="1">
      <c r="A580" s="52"/>
      <c r="B580" s="52"/>
      <c r="C580" s="52"/>
      <c r="D580" s="52"/>
      <c r="E580" s="58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</row>
    <row r="581" spans="1:25" ht="25.5" customHeight="1">
      <c r="A581" s="52"/>
      <c r="B581" s="52"/>
      <c r="C581" s="52"/>
      <c r="D581" s="52"/>
      <c r="E581" s="58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</row>
    <row r="582" spans="1:25" ht="25.5" customHeight="1">
      <c r="A582" s="52"/>
      <c r="B582" s="52"/>
      <c r="C582" s="52"/>
      <c r="D582" s="52"/>
      <c r="E582" s="58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</row>
    <row r="583" spans="1:25" ht="25.5" customHeight="1">
      <c r="A583" s="52"/>
      <c r="B583" s="52"/>
      <c r="C583" s="52"/>
      <c r="D583" s="52"/>
      <c r="E583" s="58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</row>
    <row r="584" spans="1:25" ht="25.5" customHeight="1">
      <c r="A584" s="52"/>
      <c r="B584" s="52"/>
      <c r="C584" s="52"/>
      <c r="D584" s="52"/>
      <c r="E584" s="58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</row>
    <row r="585" spans="1:25" ht="25.5" customHeight="1">
      <c r="A585" s="52"/>
      <c r="B585" s="52"/>
      <c r="C585" s="52"/>
      <c r="D585" s="52"/>
      <c r="E585" s="58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</row>
    <row r="586" spans="1:25" ht="25.5" customHeight="1">
      <c r="A586" s="52"/>
      <c r="B586" s="52"/>
      <c r="C586" s="52"/>
      <c r="D586" s="52"/>
      <c r="E586" s="58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</row>
    <row r="587" spans="1:25" ht="25.5" customHeight="1">
      <c r="A587" s="52"/>
      <c r="B587" s="52"/>
      <c r="C587" s="52"/>
      <c r="D587" s="52"/>
      <c r="E587" s="58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</row>
    <row r="588" spans="1:25" ht="25.5" customHeight="1">
      <c r="A588" s="52"/>
      <c r="B588" s="52"/>
      <c r="C588" s="52"/>
      <c r="D588" s="52"/>
      <c r="E588" s="58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</row>
    <row r="589" spans="1:25" ht="25.5" customHeight="1">
      <c r="A589" s="52"/>
      <c r="B589" s="52"/>
      <c r="C589" s="52"/>
      <c r="D589" s="52"/>
      <c r="E589" s="58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</row>
    <row r="590" spans="1:25" ht="25.5" customHeight="1">
      <c r="A590" s="52"/>
      <c r="B590" s="52"/>
      <c r="C590" s="52"/>
      <c r="D590" s="52"/>
      <c r="E590" s="58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</row>
    <row r="591" spans="1:25" ht="25.5" customHeight="1">
      <c r="A591" s="52"/>
      <c r="B591" s="52"/>
      <c r="C591" s="52"/>
      <c r="D591" s="52"/>
      <c r="E591" s="58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</row>
    <row r="592" spans="1:25" ht="25.5" customHeight="1">
      <c r="A592" s="52"/>
      <c r="B592" s="52"/>
      <c r="C592" s="52"/>
      <c r="D592" s="52"/>
      <c r="E592" s="58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</row>
    <row r="593" spans="1:25" ht="25.5" customHeight="1">
      <c r="A593" s="52"/>
      <c r="B593" s="52"/>
      <c r="C593" s="52"/>
      <c r="D593" s="52"/>
      <c r="E593" s="58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</row>
    <row r="594" spans="1:25" ht="25.5" customHeight="1">
      <c r="A594" s="52"/>
      <c r="B594" s="52"/>
      <c r="C594" s="52"/>
      <c r="D594" s="52"/>
      <c r="E594" s="58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</row>
    <row r="595" spans="1:25" ht="25.5" customHeight="1">
      <c r="A595" s="52"/>
      <c r="B595" s="52"/>
      <c r="C595" s="52"/>
      <c r="D595" s="52"/>
      <c r="E595" s="58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</row>
    <row r="596" spans="1:25" ht="25.5" customHeight="1">
      <c r="A596" s="52"/>
      <c r="B596" s="52"/>
      <c r="C596" s="52"/>
      <c r="D596" s="52"/>
      <c r="E596" s="58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</row>
    <row r="597" spans="1:25" ht="25.5" customHeight="1">
      <c r="A597" s="52"/>
      <c r="B597" s="52"/>
      <c r="C597" s="52"/>
      <c r="D597" s="52"/>
      <c r="E597" s="58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</row>
    <row r="598" spans="1:25" ht="25.5" customHeight="1">
      <c r="A598" s="52"/>
      <c r="B598" s="52"/>
      <c r="C598" s="52"/>
      <c r="D598" s="52"/>
      <c r="E598" s="58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</row>
    <row r="599" spans="1:25" ht="25.5" customHeight="1">
      <c r="A599" s="52"/>
      <c r="B599" s="52"/>
      <c r="C599" s="52"/>
      <c r="D599" s="52"/>
      <c r="E599" s="58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</row>
    <row r="600" spans="1:25" ht="25.5" customHeight="1">
      <c r="A600" s="52"/>
      <c r="B600" s="52"/>
      <c r="C600" s="52"/>
      <c r="D600" s="52"/>
      <c r="E600" s="58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</row>
    <row r="601" spans="1:25" ht="25.5" customHeight="1">
      <c r="A601" s="52"/>
      <c r="B601" s="52"/>
      <c r="C601" s="52"/>
      <c r="D601" s="52"/>
      <c r="E601" s="58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</row>
    <row r="602" spans="1:25" ht="25.5" customHeight="1">
      <c r="A602" s="52"/>
      <c r="B602" s="52"/>
      <c r="C602" s="52"/>
      <c r="D602" s="52"/>
      <c r="E602" s="58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</row>
    <row r="603" spans="1:25" ht="25.5" customHeight="1">
      <c r="A603" s="52"/>
      <c r="B603" s="52"/>
      <c r="C603" s="52"/>
      <c r="D603" s="52"/>
      <c r="E603" s="58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</row>
    <row r="604" spans="1:25" ht="25.5" customHeight="1">
      <c r="A604" s="52"/>
      <c r="B604" s="52"/>
      <c r="C604" s="52"/>
      <c r="D604" s="52"/>
      <c r="E604" s="58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</row>
    <row r="605" spans="1:25" ht="25.5" customHeight="1">
      <c r="A605" s="52"/>
      <c r="B605" s="52"/>
      <c r="C605" s="52"/>
      <c r="D605" s="52"/>
      <c r="E605" s="58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</row>
    <row r="606" spans="1:25" ht="25.5" customHeight="1">
      <c r="A606" s="52"/>
      <c r="B606" s="52"/>
      <c r="C606" s="52"/>
      <c r="D606" s="52"/>
      <c r="E606" s="58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</row>
    <row r="607" spans="1:25" ht="25.5" customHeight="1">
      <c r="A607" s="52"/>
      <c r="B607" s="52"/>
      <c r="C607" s="52"/>
      <c r="D607" s="52"/>
      <c r="E607" s="58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</row>
    <row r="608" spans="1:25" ht="25.5" customHeight="1">
      <c r="A608" s="52"/>
      <c r="B608" s="52"/>
      <c r="C608" s="52"/>
      <c r="D608" s="52"/>
      <c r="E608" s="58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</row>
    <row r="609" spans="1:25" ht="25.5" customHeight="1">
      <c r="A609" s="52"/>
      <c r="B609" s="52"/>
      <c r="C609" s="52"/>
      <c r="D609" s="52"/>
      <c r="E609" s="58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</row>
    <row r="610" spans="1:25" ht="25.5" customHeight="1">
      <c r="A610" s="52"/>
      <c r="B610" s="52"/>
      <c r="C610" s="52"/>
      <c r="D610" s="52"/>
      <c r="E610" s="58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</row>
    <row r="611" spans="1:25" ht="25.5" customHeight="1">
      <c r="A611" s="52"/>
      <c r="B611" s="52"/>
      <c r="C611" s="52"/>
      <c r="D611" s="52"/>
      <c r="E611" s="58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</row>
    <row r="612" spans="1:25" ht="25.5" customHeight="1">
      <c r="A612" s="52"/>
      <c r="B612" s="52"/>
      <c r="C612" s="52"/>
      <c r="D612" s="52"/>
      <c r="E612" s="58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</row>
    <row r="613" spans="1:25" ht="25.5" customHeight="1">
      <c r="A613" s="52"/>
      <c r="B613" s="52"/>
      <c r="C613" s="52"/>
      <c r="D613" s="52"/>
      <c r="E613" s="58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</row>
    <row r="614" spans="1:25" ht="25.5" customHeight="1">
      <c r="A614" s="52"/>
      <c r="B614" s="52"/>
      <c r="C614" s="52"/>
      <c r="D614" s="52"/>
      <c r="E614" s="58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</row>
    <row r="615" spans="1:25" ht="25.5" customHeight="1">
      <c r="A615" s="52"/>
      <c r="B615" s="52"/>
      <c r="C615" s="52"/>
      <c r="D615" s="52"/>
      <c r="E615" s="58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</row>
    <row r="616" spans="1:25" ht="25.5" customHeight="1">
      <c r="A616" s="52"/>
      <c r="B616" s="52"/>
      <c r="C616" s="52"/>
      <c r="D616" s="52"/>
      <c r="E616" s="58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</row>
    <row r="617" spans="1:25" ht="25.5" customHeight="1">
      <c r="A617" s="52"/>
      <c r="B617" s="52"/>
      <c r="C617" s="52"/>
      <c r="D617" s="52"/>
      <c r="E617" s="58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</row>
    <row r="618" spans="1:25" ht="25.5" customHeight="1">
      <c r="A618" s="52"/>
      <c r="B618" s="52"/>
      <c r="C618" s="52"/>
      <c r="D618" s="52"/>
      <c r="E618" s="58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</row>
    <row r="619" spans="1:25" ht="25.5" customHeight="1">
      <c r="A619" s="52"/>
      <c r="B619" s="52"/>
      <c r="C619" s="52"/>
      <c r="D619" s="52"/>
      <c r="E619" s="58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</row>
    <row r="620" spans="1:25" ht="25.5" customHeight="1">
      <c r="A620" s="52"/>
      <c r="B620" s="52"/>
      <c r="C620" s="52"/>
      <c r="D620" s="52"/>
      <c r="E620" s="58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</row>
    <row r="621" spans="1:25" ht="25.5" customHeight="1">
      <c r="A621" s="52"/>
      <c r="B621" s="52"/>
      <c r="C621" s="52"/>
      <c r="D621" s="52"/>
      <c r="E621" s="58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</row>
    <row r="622" spans="1:25" ht="25.5" customHeight="1">
      <c r="A622" s="52"/>
      <c r="B622" s="52"/>
      <c r="C622" s="52"/>
      <c r="D622" s="52"/>
      <c r="E622" s="58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</row>
    <row r="623" spans="1:25" ht="25.5" customHeight="1">
      <c r="A623" s="52"/>
      <c r="B623" s="52"/>
      <c r="C623" s="52"/>
      <c r="D623" s="52"/>
      <c r="E623" s="58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</row>
    <row r="624" spans="1:25" ht="25.5" customHeight="1">
      <c r="A624" s="52"/>
      <c r="B624" s="52"/>
      <c r="C624" s="52"/>
      <c r="D624" s="52"/>
      <c r="E624" s="58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</row>
    <row r="625" spans="1:25" ht="25.5" customHeight="1">
      <c r="A625" s="52"/>
      <c r="B625" s="52"/>
      <c r="C625" s="52"/>
      <c r="D625" s="52"/>
      <c r="E625" s="58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</row>
    <row r="626" spans="1:25" ht="25.5" customHeight="1">
      <c r="A626" s="52"/>
      <c r="B626" s="52"/>
      <c r="C626" s="52"/>
      <c r="D626" s="52"/>
      <c r="E626" s="58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</row>
    <row r="627" spans="1:25" ht="25.5" customHeight="1">
      <c r="A627" s="52"/>
      <c r="B627" s="52"/>
      <c r="C627" s="52"/>
      <c r="D627" s="52"/>
      <c r="E627" s="58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</row>
    <row r="628" spans="1:25" ht="25.5" customHeight="1">
      <c r="A628" s="52"/>
      <c r="B628" s="52"/>
      <c r="C628" s="52"/>
      <c r="D628" s="52"/>
      <c r="E628" s="58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</row>
    <row r="629" spans="1:25" ht="25.5" customHeight="1">
      <c r="A629" s="52"/>
      <c r="B629" s="52"/>
      <c r="C629" s="52"/>
      <c r="D629" s="52"/>
      <c r="E629" s="58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</row>
    <row r="630" spans="1:25" ht="25.5" customHeight="1">
      <c r="A630" s="52"/>
      <c r="B630" s="52"/>
      <c r="C630" s="52"/>
      <c r="D630" s="52"/>
      <c r="E630" s="58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</row>
    <row r="631" spans="1:25" ht="25.5" customHeight="1">
      <c r="A631" s="52"/>
      <c r="B631" s="52"/>
      <c r="C631" s="52"/>
      <c r="D631" s="52"/>
      <c r="E631" s="58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</row>
    <row r="632" spans="1:25" ht="25.5" customHeight="1">
      <c r="A632" s="52"/>
      <c r="B632" s="52"/>
      <c r="C632" s="52"/>
      <c r="D632" s="52"/>
      <c r="E632" s="58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</row>
    <row r="633" spans="1:25" ht="25.5" customHeight="1">
      <c r="A633" s="52"/>
      <c r="B633" s="52"/>
      <c r="C633" s="52"/>
      <c r="D633" s="52"/>
      <c r="E633" s="58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</row>
    <row r="634" spans="1:25" ht="25.5" customHeight="1">
      <c r="A634" s="52"/>
      <c r="B634" s="52"/>
      <c r="C634" s="52"/>
      <c r="D634" s="52"/>
      <c r="E634" s="58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</row>
    <row r="635" spans="1:25" ht="25.5" customHeight="1">
      <c r="A635" s="52"/>
      <c r="B635" s="52"/>
      <c r="C635" s="52"/>
      <c r="D635" s="52"/>
      <c r="E635" s="58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</row>
    <row r="636" spans="1:25" ht="25.5" customHeight="1">
      <c r="A636" s="52"/>
      <c r="B636" s="52"/>
      <c r="C636" s="52"/>
      <c r="D636" s="52"/>
      <c r="E636" s="58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</row>
    <row r="637" spans="1:25" ht="25.5" customHeight="1">
      <c r="A637" s="52"/>
      <c r="B637" s="52"/>
      <c r="C637" s="52"/>
      <c r="D637" s="52"/>
      <c r="E637" s="58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</row>
    <row r="638" spans="1:25" ht="25.5" customHeight="1">
      <c r="A638" s="52"/>
      <c r="B638" s="52"/>
      <c r="C638" s="52"/>
      <c r="D638" s="52"/>
      <c r="E638" s="58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</row>
    <row r="639" spans="1:25" ht="25.5" customHeight="1">
      <c r="A639" s="52"/>
      <c r="B639" s="52"/>
      <c r="C639" s="52"/>
      <c r="D639" s="52"/>
      <c r="E639" s="58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</row>
    <row r="640" spans="1:25" ht="25.5" customHeight="1">
      <c r="A640" s="52"/>
      <c r="B640" s="52"/>
      <c r="C640" s="52"/>
      <c r="D640" s="52"/>
      <c r="E640" s="58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</row>
    <row r="641" spans="1:25" ht="25.5" customHeight="1">
      <c r="A641" s="52"/>
      <c r="B641" s="52"/>
      <c r="C641" s="52"/>
      <c r="D641" s="52"/>
      <c r="E641" s="58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</row>
    <row r="642" spans="1:25" ht="25.5" customHeight="1">
      <c r="A642" s="52"/>
      <c r="B642" s="52"/>
      <c r="C642" s="52"/>
      <c r="D642" s="52"/>
      <c r="E642" s="58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</row>
    <row r="643" spans="1:25" ht="25.5" customHeight="1">
      <c r="A643" s="52"/>
      <c r="B643" s="52"/>
      <c r="C643" s="52"/>
      <c r="D643" s="52"/>
      <c r="E643" s="58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</row>
    <row r="644" spans="1:25" ht="25.5" customHeight="1">
      <c r="A644" s="52"/>
      <c r="B644" s="52"/>
      <c r="C644" s="52"/>
      <c r="D644" s="52"/>
      <c r="E644" s="58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</row>
    <row r="645" spans="1:25" ht="25.5" customHeight="1">
      <c r="A645" s="52"/>
      <c r="B645" s="52"/>
      <c r="C645" s="52"/>
      <c r="D645" s="52"/>
      <c r="E645" s="58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</row>
    <row r="646" spans="1:25" ht="25.5" customHeight="1">
      <c r="A646" s="52"/>
      <c r="B646" s="52"/>
      <c r="C646" s="52"/>
      <c r="D646" s="52"/>
      <c r="E646" s="58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</row>
    <row r="647" spans="1:25" ht="25.5" customHeight="1">
      <c r="A647" s="52"/>
      <c r="B647" s="52"/>
      <c r="C647" s="52"/>
      <c r="D647" s="52"/>
      <c r="E647" s="58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</row>
    <row r="648" spans="1:25" ht="25.5" customHeight="1">
      <c r="A648" s="52"/>
      <c r="B648" s="52"/>
      <c r="C648" s="52"/>
      <c r="D648" s="52"/>
      <c r="E648" s="58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</row>
    <row r="649" spans="1:25" ht="25.5" customHeight="1">
      <c r="A649" s="52"/>
      <c r="B649" s="52"/>
      <c r="C649" s="52"/>
      <c r="D649" s="52"/>
      <c r="E649" s="58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</row>
    <row r="650" spans="1:25" ht="25.5" customHeight="1">
      <c r="A650" s="52"/>
      <c r="B650" s="52"/>
      <c r="C650" s="52"/>
      <c r="D650" s="52"/>
      <c r="E650" s="58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</row>
    <row r="651" spans="1:25" ht="25.5" customHeight="1">
      <c r="A651" s="52"/>
      <c r="B651" s="52"/>
      <c r="C651" s="52"/>
      <c r="D651" s="52"/>
      <c r="E651" s="58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</row>
    <row r="652" spans="1:25" ht="25.5" customHeight="1">
      <c r="A652" s="52"/>
      <c r="B652" s="52"/>
      <c r="C652" s="52"/>
      <c r="D652" s="52"/>
      <c r="E652" s="58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</row>
    <row r="653" spans="1:25" ht="25.5" customHeight="1">
      <c r="A653" s="52"/>
      <c r="B653" s="52"/>
      <c r="C653" s="52"/>
      <c r="D653" s="52"/>
      <c r="E653" s="58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</row>
    <row r="654" spans="1:25" ht="25.5" customHeight="1">
      <c r="A654" s="52"/>
      <c r="B654" s="52"/>
      <c r="C654" s="52"/>
      <c r="D654" s="52"/>
      <c r="E654" s="58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</row>
    <row r="655" spans="1:25" ht="25.5" customHeight="1">
      <c r="A655" s="52"/>
      <c r="B655" s="52"/>
      <c r="C655" s="52"/>
      <c r="D655" s="52"/>
      <c r="E655" s="58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</row>
    <row r="656" spans="1:25" ht="25.5" customHeight="1">
      <c r="A656" s="52"/>
      <c r="B656" s="52"/>
      <c r="C656" s="52"/>
      <c r="D656" s="52"/>
      <c r="E656" s="58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</row>
    <row r="657" spans="1:25" ht="25.5" customHeight="1">
      <c r="A657" s="52"/>
      <c r="B657" s="52"/>
      <c r="C657" s="52"/>
      <c r="D657" s="52"/>
      <c r="E657" s="58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</row>
    <row r="658" spans="1:25" ht="25.5" customHeight="1">
      <c r="A658" s="52"/>
      <c r="B658" s="52"/>
      <c r="C658" s="52"/>
      <c r="D658" s="52"/>
      <c r="E658" s="58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</row>
    <row r="659" spans="1:25" ht="25.5" customHeight="1">
      <c r="A659" s="52"/>
      <c r="B659" s="52"/>
      <c r="C659" s="52"/>
      <c r="D659" s="52"/>
      <c r="E659" s="58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</row>
    <row r="660" spans="1:25" ht="25.5" customHeight="1">
      <c r="A660" s="52"/>
      <c r="B660" s="52"/>
      <c r="C660" s="52"/>
      <c r="D660" s="52"/>
      <c r="E660" s="58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</row>
    <row r="661" spans="1:25" ht="25.5" customHeight="1">
      <c r="A661" s="52"/>
      <c r="B661" s="52"/>
      <c r="C661" s="52"/>
      <c r="D661" s="52"/>
      <c r="E661" s="58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</row>
    <row r="662" spans="1:25" ht="25.5" customHeight="1">
      <c r="A662" s="52"/>
      <c r="B662" s="52"/>
      <c r="C662" s="52"/>
      <c r="D662" s="52"/>
      <c r="E662" s="58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</row>
    <row r="663" spans="1:25" ht="25.5" customHeight="1">
      <c r="A663" s="52"/>
      <c r="B663" s="52"/>
      <c r="C663" s="52"/>
      <c r="D663" s="52"/>
      <c r="E663" s="58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</row>
    <row r="664" spans="1:25" ht="25.5" customHeight="1">
      <c r="A664" s="52"/>
      <c r="B664" s="52"/>
      <c r="C664" s="52"/>
      <c r="D664" s="52"/>
      <c r="E664" s="58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</row>
    <row r="665" spans="1:25" ht="25.5" customHeight="1">
      <c r="A665" s="52"/>
      <c r="B665" s="52"/>
      <c r="C665" s="52"/>
      <c r="D665" s="52"/>
      <c r="E665" s="58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</row>
    <row r="666" spans="1:25" ht="25.5" customHeight="1">
      <c r="A666" s="52"/>
      <c r="B666" s="52"/>
      <c r="C666" s="52"/>
      <c r="D666" s="52"/>
      <c r="E666" s="58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</row>
    <row r="667" spans="1:25" ht="25.5" customHeight="1">
      <c r="A667" s="52"/>
      <c r="B667" s="52"/>
      <c r="C667" s="52"/>
      <c r="D667" s="52"/>
      <c r="E667" s="58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</row>
    <row r="668" spans="1:25" ht="25.5" customHeight="1">
      <c r="A668" s="52"/>
      <c r="B668" s="52"/>
      <c r="C668" s="52"/>
      <c r="D668" s="52"/>
      <c r="E668" s="58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</row>
    <row r="669" spans="1:25" ht="25.5" customHeight="1">
      <c r="A669" s="52"/>
      <c r="B669" s="52"/>
      <c r="C669" s="52"/>
      <c r="D669" s="52"/>
      <c r="E669" s="58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</row>
    <row r="670" spans="1:25" ht="25.5" customHeight="1">
      <c r="A670" s="52"/>
      <c r="B670" s="52"/>
      <c r="C670" s="52"/>
      <c r="D670" s="52"/>
      <c r="E670" s="58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</row>
    <row r="671" spans="1:25" ht="25.5" customHeight="1">
      <c r="A671" s="52"/>
      <c r="B671" s="52"/>
      <c r="C671" s="52"/>
      <c r="D671" s="52"/>
      <c r="E671" s="58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</row>
    <row r="672" spans="1:25" ht="25.5" customHeight="1">
      <c r="A672" s="52"/>
      <c r="B672" s="52"/>
      <c r="C672" s="52"/>
      <c r="D672" s="52"/>
      <c r="E672" s="58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</row>
    <row r="673" spans="1:25" ht="25.5" customHeight="1">
      <c r="A673" s="52"/>
      <c r="B673" s="52"/>
      <c r="C673" s="52"/>
      <c r="D673" s="52"/>
      <c r="E673" s="58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</row>
    <row r="674" spans="1:25" ht="25.5" customHeight="1">
      <c r="A674" s="52"/>
      <c r="B674" s="52"/>
      <c r="C674" s="52"/>
      <c r="D674" s="52"/>
      <c r="E674" s="58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</row>
    <row r="675" spans="1:25" ht="25.5" customHeight="1">
      <c r="A675" s="52"/>
      <c r="B675" s="52"/>
      <c r="C675" s="52"/>
      <c r="D675" s="52"/>
      <c r="E675" s="58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</row>
    <row r="676" spans="1:25" ht="25.5" customHeight="1">
      <c r="A676" s="52"/>
      <c r="B676" s="52"/>
      <c r="C676" s="52"/>
      <c r="D676" s="52"/>
      <c r="E676" s="58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</row>
    <row r="677" spans="1:25" ht="25.5" customHeight="1">
      <c r="A677" s="52"/>
      <c r="B677" s="52"/>
      <c r="C677" s="52"/>
      <c r="D677" s="52"/>
      <c r="E677" s="58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</row>
    <row r="678" spans="1:25" ht="25.5" customHeight="1">
      <c r="A678" s="52"/>
      <c r="B678" s="52"/>
      <c r="C678" s="52"/>
      <c r="D678" s="52"/>
      <c r="E678" s="58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</row>
    <row r="679" spans="1:25" ht="25.5" customHeight="1">
      <c r="A679" s="52"/>
      <c r="B679" s="52"/>
      <c r="C679" s="52"/>
      <c r="D679" s="52"/>
      <c r="E679" s="58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</row>
    <row r="680" spans="1:25" ht="25.5" customHeight="1">
      <c r="A680" s="52"/>
      <c r="B680" s="52"/>
      <c r="C680" s="52"/>
      <c r="D680" s="52"/>
      <c r="E680" s="58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</row>
    <row r="681" spans="1:25" ht="25.5" customHeight="1">
      <c r="A681" s="52"/>
      <c r="B681" s="52"/>
      <c r="C681" s="52"/>
      <c r="D681" s="52"/>
      <c r="E681" s="58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</row>
    <row r="682" spans="1:25" ht="25.5" customHeight="1">
      <c r="A682" s="52"/>
      <c r="B682" s="52"/>
      <c r="C682" s="52"/>
      <c r="D682" s="52"/>
      <c r="E682" s="58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</row>
    <row r="683" spans="1:25" ht="25.5" customHeight="1">
      <c r="A683" s="52"/>
      <c r="B683" s="52"/>
      <c r="C683" s="52"/>
      <c r="D683" s="52"/>
      <c r="E683" s="58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</row>
    <row r="684" spans="1:25" ht="25.5" customHeight="1">
      <c r="A684" s="52"/>
      <c r="B684" s="52"/>
      <c r="C684" s="52"/>
      <c r="D684" s="52"/>
      <c r="E684" s="58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</row>
    <row r="685" spans="1:25" ht="25.5" customHeight="1">
      <c r="A685" s="52"/>
      <c r="B685" s="52"/>
      <c r="C685" s="52"/>
      <c r="D685" s="52"/>
      <c r="E685" s="58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</row>
    <row r="686" spans="1:25" ht="25.5" customHeight="1">
      <c r="A686" s="52"/>
      <c r="B686" s="52"/>
      <c r="C686" s="52"/>
      <c r="D686" s="52"/>
      <c r="E686" s="58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</row>
    <row r="687" spans="1:25" ht="25.5" customHeight="1">
      <c r="A687" s="52"/>
      <c r="B687" s="52"/>
      <c r="C687" s="52"/>
      <c r="D687" s="52"/>
      <c r="E687" s="58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</row>
    <row r="688" spans="1:25" ht="25.5" customHeight="1">
      <c r="A688" s="52"/>
      <c r="B688" s="52"/>
      <c r="C688" s="52"/>
      <c r="D688" s="52"/>
      <c r="E688" s="58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</row>
    <row r="689" spans="1:25" ht="25.5" customHeight="1">
      <c r="A689" s="52"/>
      <c r="B689" s="52"/>
      <c r="C689" s="52"/>
      <c r="D689" s="52"/>
      <c r="E689" s="58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</row>
    <row r="690" spans="1:25" ht="25.5" customHeight="1">
      <c r="A690" s="52"/>
      <c r="B690" s="52"/>
      <c r="C690" s="52"/>
      <c r="D690" s="52"/>
      <c r="E690" s="58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</row>
    <row r="691" spans="1:25" ht="25.5" customHeight="1">
      <c r="A691" s="52"/>
      <c r="B691" s="52"/>
      <c r="C691" s="52"/>
      <c r="D691" s="52"/>
      <c r="E691" s="58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</row>
    <row r="692" spans="1:25" ht="25.5" customHeight="1">
      <c r="A692" s="52"/>
      <c r="B692" s="52"/>
      <c r="C692" s="52"/>
      <c r="D692" s="52"/>
      <c r="E692" s="58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</row>
    <row r="693" spans="1:25" ht="25.5" customHeight="1">
      <c r="A693" s="52"/>
      <c r="B693" s="52"/>
      <c r="C693" s="52"/>
      <c r="D693" s="52"/>
      <c r="E693" s="58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</row>
    <row r="694" spans="1:25" ht="25.5" customHeight="1">
      <c r="A694" s="52"/>
      <c r="B694" s="52"/>
      <c r="C694" s="52"/>
      <c r="D694" s="52"/>
      <c r="E694" s="58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</row>
    <row r="695" spans="1:25" ht="25.5" customHeight="1">
      <c r="A695" s="52"/>
      <c r="B695" s="52"/>
      <c r="C695" s="52"/>
      <c r="D695" s="52"/>
      <c r="E695" s="58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</row>
    <row r="696" spans="1:25" ht="25.5" customHeight="1">
      <c r="A696" s="52"/>
      <c r="B696" s="52"/>
      <c r="C696" s="52"/>
      <c r="D696" s="52"/>
      <c r="E696" s="58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</row>
    <row r="697" spans="1:25" ht="25.5" customHeight="1">
      <c r="A697" s="52"/>
      <c r="B697" s="52"/>
      <c r="C697" s="52"/>
      <c r="D697" s="52"/>
      <c r="E697" s="58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</row>
    <row r="698" spans="1:25" ht="25.5" customHeight="1">
      <c r="A698" s="52"/>
      <c r="B698" s="52"/>
      <c r="C698" s="52"/>
      <c r="D698" s="52"/>
      <c r="E698" s="58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</row>
    <row r="699" spans="1:25" ht="25.5" customHeight="1">
      <c r="A699" s="52"/>
      <c r="B699" s="52"/>
      <c r="C699" s="52"/>
      <c r="D699" s="52"/>
      <c r="E699" s="58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</row>
    <row r="700" spans="1:25" ht="25.5" customHeight="1">
      <c r="A700" s="52"/>
      <c r="B700" s="52"/>
      <c r="C700" s="52"/>
      <c r="D700" s="52"/>
      <c r="E700" s="58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</row>
    <row r="701" spans="1:25" ht="25.5" customHeight="1">
      <c r="A701" s="52"/>
      <c r="B701" s="52"/>
      <c r="C701" s="52"/>
      <c r="D701" s="52"/>
      <c r="E701" s="58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</row>
    <row r="702" spans="1:25" ht="25.5" customHeight="1">
      <c r="A702" s="52"/>
      <c r="B702" s="52"/>
      <c r="C702" s="52"/>
      <c r="D702" s="52"/>
      <c r="E702" s="58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</row>
    <row r="703" spans="1:25" ht="25.5" customHeight="1">
      <c r="A703" s="52"/>
      <c r="B703" s="52"/>
      <c r="C703" s="52"/>
      <c r="D703" s="52"/>
      <c r="E703" s="58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</row>
    <row r="704" spans="1:25" ht="25.5" customHeight="1">
      <c r="A704" s="52"/>
      <c r="B704" s="52"/>
      <c r="C704" s="52"/>
      <c r="D704" s="52"/>
      <c r="E704" s="58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</row>
    <row r="705" spans="1:25" ht="25.5" customHeight="1">
      <c r="A705" s="52"/>
      <c r="B705" s="52"/>
      <c r="C705" s="52"/>
      <c r="D705" s="52"/>
      <c r="E705" s="58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</row>
    <row r="706" spans="1:25" ht="25.5" customHeight="1">
      <c r="A706" s="52"/>
      <c r="B706" s="52"/>
      <c r="C706" s="52"/>
      <c r="D706" s="52"/>
      <c r="E706" s="58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</row>
    <row r="707" spans="1:25" ht="25.5" customHeight="1">
      <c r="A707" s="52"/>
      <c r="B707" s="52"/>
      <c r="C707" s="52"/>
      <c r="D707" s="52"/>
      <c r="E707" s="58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</row>
    <row r="708" spans="1:25" ht="25.5" customHeight="1">
      <c r="A708" s="52"/>
      <c r="B708" s="52"/>
      <c r="C708" s="52"/>
      <c r="D708" s="52"/>
      <c r="E708" s="58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</row>
    <row r="709" spans="1:25" ht="25.5" customHeight="1">
      <c r="A709" s="52"/>
      <c r="B709" s="52"/>
      <c r="C709" s="52"/>
      <c r="D709" s="52"/>
      <c r="E709" s="58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</row>
    <row r="710" spans="1:25" ht="25.5" customHeight="1">
      <c r="A710" s="52"/>
      <c r="B710" s="52"/>
      <c r="C710" s="52"/>
      <c r="D710" s="52"/>
      <c r="E710" s="58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</row>
    <row r="711" spans="1:25" ht="25.5" customHeight="1">
      <c r="A711" s="52"/>
      <c r="B711" s="52"/>
      <c r="C711" s="52"/>
      <c r="D711" s="52"/>
      <c r="E711" s="58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</row>
    <row r="712" spans="1:25" ht="25.5" customHeight="1">
      <c r="A712" s="52"/>
      <c r="B712" s="52"/>
      <c r="C712" s="52"/>
      <c r="D712" s="52"/>
      <c r="E712" s="58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</row>
    <row r="713" spans="1:25" ht="25.5" customHeight="1">
      <c r="A713" s="52"/>
      <c r="B713" s="52"/>
      <c r="C713" s="52"/>
      <c r="D713" s="52"/>
      <c r="E713" s="58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</row>
    <row r="714" spans="1:25" ht="25.5" customHeight="1">
      <c r="A714" s="52"/>
      <c r="B714" s="52"/>
      <c r="C714" s="52"/>
      <c r="D714" s="52"/>
      <c r="E714" s="58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</row>
    <row r="715" spans="1:25" ht="25.5" customHeight="1">
      <c r="A715" s="52"/>
      <c r="B715" s="52"/>
      <c r="C715" s="52"/>
      <c r="D715" s="52"/>
      <c r="E715" s="58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</row>
    <row r="716" spans="1:25" ht="25.5" customHeight="1">
      <c r="A716" s="52"/>
      <c r="B716" s="52"/>
      <c r="C716" s="52"/>
      <c r="D716" s="52"/>
      <c r="E716" s="58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</row>
    <row r="717" spans="1:25" ht="25.5" customHeight="1">
      <c r="A717" s="52"/>
      <c r="B717" s="52"/>
      <c r="C717" s="52"/>
      <c r="D717" s="52"/>
      <c r="E717" s="58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</row>
    <row r="718" spans="1:25" ht="25.5" customHeight="1">
      <c r="A718" s="52"/>
      <c r="B718" s="52"/>
      <c r="C718" s="52"/>
      <c r="D718" s="52"/>
      <c r="E718" s="58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</row>
    <row r="719" spans="1:25" ht="25.5" customHeight="1">
      <c r="A719" s="52"/>
      <c r="B719" s="52"/>
      <c r="C719" s="52"/>
      <c r="D719" s="52"/>
      <c r="E719" s="58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</row>
    <row r="720" spans="1:25" ht="25.5" customHeight="1">
      <c r="A720" s="52"/>
      <c r="B720" s="52"/>
      <c r="C720" s="52"/>
      <c r="D720" s="52"/>
      <c r="E720" s="58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</row>
    <row r="721" spans="1:25" ht="25.5" customHeight="1">
      <c r="A721" s="52"/>
      <c r="B721" s="52"/>
      <c r="C721" s="52"/>
      <c r="D721" s="52"/>
      <c r="E721" s="58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</row>
    <row r="722" spans="1:25" ht="25.5" customHeight="1">
      <c r="A722" s="52"/>
      <c r="B722" s="52"/>
      <c r="C722" s="52"/>
      <c r="D722" s="52"/>
      <c r="E722" s="58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</row>
    <row r="723" spans="1:25" ht="25.5" customHeight="1">
      <c r="A723" s="52"/>
      <c r="B723" s="52"/>
      <c r="C723" s="52"/>
      <c r="D723" s="52"/>
      <c r="E723" s="58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</row>
    <row r="724" spans="1:25" ht="25.5" customHeight="1">
      <c r="A724" s="52"/>
      <c r="B724" s="52"/>
      <c r="C724" s="52"/>
      <c r="D724" s="52"/>
      <c r="E724" s="58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</row>
    <row r="725" spans="1:25" ht="25.5" customHeight="1">
      <c r="A725" s="52"/>
      <c r="B725" s="52"/>
      <c r="C725" s="52"/>
      <c r="D725" s="52"/>
      <c r="E725" s="58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</row>
    <row r="726" spans="1:25" ht="25.5" customHeight="1">
      <c r="A726" s="52"/>
      <c r="B726" s="52"/>
      <c r="C726" s="52"/>
      <c r="D726" s="52"/>
      <c r="E726" s="58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</row>
    <row r="727" spans="1:25" ht="25.5" customHeight="1">
      <c r="A727" s="52"/>
      <c r="B727" s="52"/>
      <c r="C727" s="52"/>
      <c r="D727" s="52"/>
      <c r="E727" s="58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</row>
    <row r="728" spans="1:25" ht="25.5" customHeight="1">
      <c r="A728" s="52"/>
      <c r="B728" s="52"/>
      <c r="C728" s="52"/>
      <c r="D728" s="52"/>
      <c r="E728" s="58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</row>
    <row r="729" spans="1:25" ht="25.5" customHeight="1">
      <c r="A729" s="52"/>
      <c r="B729" s="52"/>
      <c r="C729" s="52"/>
      <c r="D729" s="52"/>
      <c r="E729" s="58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</row>
    <row r="730" spans="1:25" ht="25.5" customHeight="1">
      <c r="A730" s="52"/>
      <c r="B730" s="52"/>
      <c r="C730" s="52"/>
      <c r="D730" s="52"/>
      <c r="E730" s="58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</row>
    <row r="731" spans="1:25" ht="25.5" customHeight="1">
      <c r="A731" s="52"/>
      <c r="B731" s="52"/>
      <c r="C731" s="52"/>
      <c r="D731" s="52"/>
      <c r="E731" s="58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</row>
    <row r="732" spans="1:25" ht="25.5" customHeight="1">
      <c r="A732" s="52"/>
      <c r="B732" s="52"/>
      <c r="C732" s="52"/>
      <c r="D732" s="52"/>
      <c r="E732" s="58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</row>
    <row r="733" spans="1:25" ht="25.5" customHeight="1">
      <c r="A733" s="52"/>
      <c r="B733" s="52"/>
      <c r="C733" s="52"/>
      <c r="D733" s="52"/>
      <c r="E733" s="58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</row>
    <row r="734" spans="1:25" ht="25.5" customHeight="1">
      <c r="A734" s="52"/>
      <c r="B734" s="52"/>
      <c r="C734" s="52"/>
      <c r="D734" s="52"/>
      <c r="E734" s="58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</row>
    <row r="735" spans="1:25" ht="25.5" customHeight="1">
      <c r="A735" s="52"/>
      <c r="B735" s="52"/>
      <c r="C735" s="52"/>
      <c r="D735" s="52"/>
      <c r="E735" s="58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</row>
    <row r="736" spans="1:25" ht="25.5" customHeight="1">
      <c r="A736" s="52"/>
      <c r="B736" s="52"/>
      <c r="C736" s="52"/>
      <c r="D736" s="52"/>
      <c r="E736" s="58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</row>
    <row r="737" spans="1:25" ht="25.5" customHeight="1">
      <c r="A737" s="52"/>
      <c r="B737" s="52"/>
      <c r="C737" s="52"/>
      <c r="D737" s="52"/>
      <c r="E737" s="58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</row>
    <row r="738" spans="1:25" ht="25.5" customHeight="1">
      <c r="A738" s="52"/>
      <c r="B738" s="52"/>
      <c r="C738" s="52"/>
      <c r="D738" s="52"/>
      <c r="E738" s="58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</row>
    <row r="739" spans="1:25" ht="25.5" customHeight="1">
      <c r="A739" s="52"/>
      <c r="B739" s="52"/>
      <c r="C739" s="52"/>
      <c r="D739" s="52"/>
      <c r="E739" s="58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</row>
    <row r="740" spans="1:25" ht="25.5" customHeight="1">
      <c r="A740" s="52"/>
      <c r="B740" s="52"/>
      <c r="C740" s="52"/>
      <c r="D740" s="52"/>
      <c r="E740" s="58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</row>
    <row r="741" spans="1:25" ht="25.5" customHeight="1">
      <c r="A741" s="52"/>
      <c r="B741" s="52"/>
      <c r="C741" s="52"/>
      <c r="D741" s="52"/>
      <c r="E741" s="58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</row>
    <row r="742" spans="1:25" ht="25.5" customHeight="1">
      <c r="A742" s="52"/>
      <c r="B742" s="52"/>
      <c r="C742" s="52"/>
      <c r="D742" s="52"/>
      <c r="E742" s="58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</row>
    <row r="743" spans="1:25" ht="25.5" customHeight="1">
      <c r="A743" s="52"/>
      <c r="B743" s="52"/>
      <c r="C743" s="52"/>
      <c r="D743" s="52"/>
      <c r="E743" s="58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</row>
    <row r="744" spans="1:25" ht="25.5" customHeight="1">
      <c r="A744" s="52"/>
      <c r="B744" s="52"/>
      <c r="C744" s="52"/>
      <c r="D744" s="52"/>
      <c r="E744" s="58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</row>
    <row r="745" spans="1:25" ht="25.5" customHeight="1">
      <c r="A745" s="52"/>
      <c r="B745" s="52"/>
      <c r="C745" s="52"/>
      <c r="D745" s="52"/>
      <c r="E745" s="58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</row>
    <row r="746" spans="1:25" ht="25.5" customHeight="1">
      <c r="A746" s="52"/>
      <c r="B746" s="52"/>
      <c r="C746" s="52"/>
      <c r="D746" s="52"/>
      <c r="E746" s="58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</row>
    <row r="747" spans="1:25" ht="25.5" customHeight="1">
      <c r="A747" s="52"/>
      <c r="B747" s="52"/>
      <c r="C747" s="52"/>
      <c r="D747" s="52"/>
      <c r="E747" s="58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</row>
    <row r="748" spans="1:25" ht="25.5" customHeight="1">
      <c r="A748" s="52"/>
      <c r="B748" s="52"/>
      <c r="C748" s="52"/>
      <c r="D748" s="52"/>
      <c r="E748" s="58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</row>
    <row r="749" spans="1:25" ht="25.5" customHeight="1">
      <c r="A749" s="52"/>
      <c r="B749" s="52"/>
      <c r="C749" s="52"/>
      <c r="D749" s="52"/>
      <c r="E749" s="58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</row>
    <row r="750" spans="1:25" ht="25.5" customHeight="1">
      <c r="A750" s="52"/>
      <c r="B750" s="52"/>
      <c r="C750" s="52"/>
      <c r="D750" s="52"/>
      <c r="E750" s="58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</row>
    <row r="751" spans="1:25" ht="25.5" customHeight="1">
      <c r="A751" s="52"/>
      <c r="B751" s="52"/>
      <c r="C751" s="52"/>
      <c r="D751" s="52"/>
      <c r="E751" s="58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</row>
    <row r="752" spans="1:25" ht="25.5" customHeight="1">
      <c r="A752" s="52"/>
      <c r="B752" s="52"/>
      <c r="C752" s="52"/>
      <c r="D752" s="52"/>
      <c r="E752" s="58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</row>
    <row r="753" spans="1:25" ht="25.5" customHeight="1">
      <c r="A753" s="52"/>
      <c r="B753" s="52"/>
      <c r="C753" s="52"/>
      <c r="D753" s="52"/>
      <c r="E753" s="58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</row>
    <row r="754" spans="1:25" ht="25.5" customHeight="1">
      <c r="A754" s="52"/>
      <c r="B754" s="52"/>
      <c r="C754" s="52"/>
      <c r="D754" s="52"/>
      <c r="E754" s="58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</row>
    <row r="755" spans="1:25" ht="25.5" customHeight="1">
      <c r="A755" s="52"/>
      <c r="B755" s="52"/>
      <c r="C755" s="52"/>
      <c r="D755" s="52"/>
      <c r="E755" s="58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</row>
    <row r="756" spans="1:25" ht="25.5" customHeight="1">
      <c r="A756" s="52"/>
      <c r="B756" s="52"/>
      <c r="C756" s="52"/>
      <c r="D756" s="52"/>
      <c r="E756" s="58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</row>
    <row r="757" spans="1:25" ht="25.5" customHeight="1">
      <c r="A757" s="52"/>
      <c r="B757" s="52"/>
      <c r="C757" s="52"/>
      <c r="D757" s="52"/>
      <c r="E757" s="58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</row>
    <row r="758" spans="1:25" ht="25.5" customHeight="1">
      <c r="A758" s="52"/>
      <c r="B758" s="52"/>
      <c r="C758" s="52"/>
      <c r="D758" s="52"/>
      <c r="E758" s="58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</row>
    <row r="759" spans="1:25" ht="25.5" customHeight="1">
      <c r="A759" s="52"/>
      <c r="B759" s="52"/>
      <c r="C759" s="52"/>
      <c r="D759" s="52"/>
      <c r="E759" s="58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</row>
    <row r="760" spans="1:25" ht="25.5" customHeight="1">
      <c r="A760" s="52"/>
      <c r="B760" s="52"/>
      <c r="C760" s="52"/>
      <c r="D760" s="52"/>
      <c r="E760" s="58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</row>
    <row r="761" spans="1:25" ht="25.5" customHeight="1">
      <c r="A761" s="52"/>
      <c r="B761" s="52"/>
      <c r="C761" s="52"/>
      <c r="D761" s="52"/>
      <c r="E761" s="58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</row>
    <row r="762" spans="1:25" ht="25.5" customHeight="1">
      <c r="A762" s="52"/>
      <c r="B762" s="52"/>
      <c r="C762" s="52"/>
      <c r="D762" s="52"/>
      <c r="E762" s="58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</row>
    <row r="763" spans="1:25" ht="25.5" customHeight="1">
      <c r="A763" s="52"/>
      <c r="B763" s="52"/>
      <c r="C763" s="52"/>
      <c r="D763" s="52"/>
      <c r="E763" s="58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</row>
    <row r="764" spans="1:25" ht="25.5" customHeight="1">
      <c r="A764" s="52"/>
      <c r="B764" s="52"/>
      <c r="C764" s="52"/>
      <c r="D764" s="52"/>
      <c r="E764" s="58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</row>
    <row r="765" spans="1:25" ht="25.5" customHeight="1">
      <c r="A765" s="52"/>
      <c r="B765" s="52"/>
      <c r="C765" s="52"/>
      <c r="D765" s="52"/>
      <c r="E765" s="58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</row>
    <row r="766" spans="1:25" ht="25.5" customHeight="1">
      <c r="A766" s="52"/>
      <c r="B766" s="52"/>
      <c r="C766" s="52"/>
      <c r="D766" s="52"/>
      <c r="E766" s="58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</row>
    <row r="767" spans="1:25" ht="25.5" customHeight="1">
      <c r="A767" s="52"/>
      <c r="B767" s="52"/>
      <c r="C767" s="52"/>
      <c r="D767" s="52"/>
      <c r="E767" s="58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</row>
    <row r="768" spans="1:25" ht="25.5" customHeight="1">
      <c r="A768" s="52"/>
      <c r="B768" s="52"/>
      <c r="C768" s="52"/>
      <c r="D768" s="52"/>
      <c r="E768" s="58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</row>
    <row r="769" spans="1:25" ht="25.5" customHeight="1">
      <c r="A769" s="52"/>
      <c r="B769" s="52"/>
      <c r="C769" s="52"/>
      <c r="D769" s="52"/>
      <c r="E769" s="58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</row>
    <row r="770" spans="1:25" ht="25.5" customHeight="1">
      <c r="A770" s="52"/>
      <c r="B770" s="52"/>
      <c r="C770" s="52"/>
      <c r="D770" s="52"/>
      <c r="E770" s="58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</row>
    <row r="771" spans="1:25" ht="25.5" customHeight="1">
      <c r="A771" s="52"/>
      <c r="B771" s="52"/>
      <c r="C771" s="52"/>
      <c r="D771" s="52"/>
      <c r="E771" s="58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</row>
    <row r="772" spans="1:25" ht="25.5" customHeight="1">
      <c r="A772" s="52"/>
      <c r="B772" s="52"/>
      <c r="C772" s="52"/>
      <c r="D772" s="52"/>
      <c r="E772" s="58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</row>
    <row r="773" spans="1:25" ht="25.5" customHeight="1">
      <c r="A773" s="52"/>
      <c r="B773" s="52"/>
      <c r="C773" s="52"/>
      <c r="D773" s="52"/>
      <c r="E773" s="58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</row>
    <row r="774" spans="1:25" ht="25.5" customHeight="1">
      <c r="A774" s="52"/>
      <c r="B774" s="52"/>
      <c r="C774" s="52"/>
      <c r="D774" s="52"/>
      <c r="E774" s="58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</row>
    <row r="775" spans="1:25" ht="25.5" customHeight="1">
      <c r="A775" s="52"/>
      <c r="B775" s="52"/>
      <c r="C775" s="52"/>
      <c r="D775" s="52"/>
      <c r="E775" s="58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</row>
    <row r="776" spans="1:25" ht="25.5" customHeight="1">
      <c r="A776" s="52"/>
      <c r="B776" s="52"/>
      <c r="C776" s="52"/>
      <c r="D776" s="52"/>
      <c r="E776" s="58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</row>
    <row r="777" spans="1:25" ht="25.5" customHeight="1">
      <c r="A777" s="52"/>
      <c r="B777" s="52"/>
      <c r="C777" s="52"/>
      <c r="D777" s="52"/>
      <c r="E777" s="58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</row>
    <row r="778" spans="1:25" ht="25.5" customHeight="1">
      <c r="A778" s="52"/>
      <c r="B778" s="52"/>
      <c r="C778" s="52"/>
      <c r="D778" s="52"/>
      <c r="E778" s="58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</row>
    <row r="779" spans="1:25" ht="25.5" customHeight="1">
      <c r="A779" s="52"/>
      <c r="B779" s="52"/>
      <c r="C779" s="52"/>
      <c r="D779" s="52"/>
      <c r="E779" s="58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</row>
    <row r="780" spans="1:25" ht="25.5" customHeight="1">
      <c r="A780" s="52"/>
      <c r="B780" s="52"/>
      <c r="C780" s="52"/>
      <c r="D780" s="52"/>
      <c r="E780" s="58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</row>
    <row r="781" spans="1:25" ht="25.5" customHeight="1">
      <c r="A781" s="52"/>
      <c r="B781" s="52"/>
      <c r="C781" s="52"/>
      <c r="D781" s="52"/>
      <c r="E781" s="58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</row>
    <row r="782" spans="1:25" ht="25.5" customHeight="1">
      <c r="A782" s="52"/>
      <c r="B782" s="52"/>
      <c r="C782" s="52"/>
      <c r="D782" s="52"/>
      <c r="E782" s="58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</row>
    <row r="783" spans="1:25" ht="25.5" customHeight="1">
      <c r="A783" s="52"/>
      <c r="B783" s="52"/>
      <c r="C783" s="52"/>
      <c r="D783" s="52"/>
      <c r="E783" s="58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</row>
    <row r="784" spans="1:25" ht="25.5" customHeight="1">
      <c r="A784" s="52"/>
      <c r="B784" s="52"/>
      <c r="C784" s="52"/>
      <c r="D784" s="52"/>
      <c r="E784" s="58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</row>
    <row r="785" spans="1:25" ht="25.5" customHeight="1">
      <c r="A785" s="52"/>
      <c r="B785" s="52"/>
      <c r="C785" s="52"/>
      <c r="D785" s="52"/>
      <c r="E785" s="58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</row>
    <row r="786" spans="1:25" ht="25.5" customHeight="1">
      <c r="A786" s="52"/>
      <c r="B786" s="52"/>
      <c r="C786" s="52"/>
      <c r="D786" s="52"/>
      <c r="E786" s="58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</row>
    <row r="787" spans="1:25" ht="25.5" customHeight="1">
      <c r="A787" s="52"/>
      <c r="B787" s="52"/>
      <c r="C787" s="52"/>
      <c r="D787" s="52"/>
      <c r="E787" s="58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</row>
    <row r="788" spans="1:25" ht="25.5" customHeight="1">
      <c r="A788" s="52"/>
      <c r="B788" s="52"/>
      <c r="C788" s="52"/>
      <c r="D788" s="52"/>
      <c r="E788" s="58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</row>
    <row r="789" spans="1:25" ht="25.5" customHeight="1">
      <c r="A789" s="52"/>
      <c r="B789" s="52"/>
      <c r="C789" s="52"/>
      <c r="D789" s="52"/>
      <c r="E789" s="58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</row>
    <row r="790" spans="1:25" ht="25.5" customHeight="1">
      <c r="A790" s="52"/>
      <c r="B790" s="52"/>
      <c r="C790" s="52"/>
      <c r="D790" s="52"/>
      <c r="E790" s="58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</row>
    <row r="791" spans="1:25" ht="25.5" customHeight="1">
      <c r="A791" s="52"/>
      <c r="B791" s="52"/>
      <c r="C791" s="52"/>
      <c r="D791" s="52"/>
      <c r="E791" s="58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</row>
    <row r="792" spans="1:25" ht="25.5" customHeight="1">
      <c r="A792" s="52"/>
      <c r="B792" s="52"/>
      <c r="C792" s="52"/>
      <c r="D792" s="52"/>
      <c r="E792" s="58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</row>
    <row r="793" spans="1:25" ht="25.5" customHeight="1">
      <c r="A793" s="52"/>
      <c r="B793" s="52"/>
      <c r="C793" s="52"/>
      <c r="D793" s="52"/>
      <c r="E793" s="58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</row>
    <row r="794" spans="1:25" ht="25.5" customHeight="1">
      <c r="A794" s="52"/>
      <c r="B794" s="52"/>
      <c r="C794" s="52"/>
      <c r="D794" s="52"/>
      <c r="E794" s="58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</row>
    <row r="795" spans="1:25" ht="25.5" customHeight="1">
      <c r="A795" s="52"/>
      <c r="B795" s="52"/>
      <c r="C795" s="52"/>
      <c r="D795" s="52"/>
      <c r="E795" s="58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</row>
    <row r="796" spans="1:25" ht="25.5" customHeight="1">
      <c r="A796" s="52"/>
      <c r="B796" s="52"/>
      <c r="C796" s="52"/>
      <c r="D796" s="52"/>
      <c r="E796" s="58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</row>
    <row r="797" spans="1:25" ht="25.5" customHeight="1">
      <c r="A797" s="52"/>
      <c r="B797" s="52"/>
      <c r="C797" s="52"/>
      <c r="D797" s="52"/>
      <c r="E797" s="58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</row>
    <row r="798" spans="1:25" ht="25.5" customHeight="1">
      <c r="A798" s="52"/>
      <c r="B798" s="52"/>
      <c r="C798" s="52"/>
      <c r="D798" s="52"/>
      <c r="E798" s="58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</row>
    <row r="799" spans="1:25" ht="25.5" customHeight="1">
      <c r="A799" s="52"/>
      <c r="B799" s="52"/>
      <c r="C799" s="52"/>
      <c r="D799" s="52"/>
      <c r="E799" s="58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</row>
    <row r="800" spans="1:25" ht="25.5" customHeight="1">
      <c r="A800" s="52"/>
      <c r="B800" s="52"/>
      <c r="C800" s="52"/>
      <c r="D800" s="52"/>
      <c r="E800" s="58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</row>
    <row r="801" spans="1:25" ht="25.5" customHeight="1">
      <c r="A801" s="52"/>
      <c r="B801" s="52"/>
      <c r="C801" s="52"/>
      <c r="D801" s="52"/>
      <c r="E801" s="58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</row>
    <row r="802" spans="1:25" ht="25.5" customHeight="1">
      <c r="A802" s="52"/>
      <c r="B802" s="52"/>
      <c r="C802" s="52"/>
      <c r="D802" s="52"/>
      <c r="E802" s="58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</row>
    <row r="803" spans="1:25" ht="25.5" customHeight="1">
      <c r="A803" s="52"/>
      <c r="B803" s="52"/>
      <c r="C803" s="52"/>
      <c r="D803" s="52"/>
      <c r="E803" s="58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</row>
    <row r="804" spans="1:25" ht="25.5" customHeight="1">
      <c r="A804" s="52"/>
      <c r="B804" s="52"/>
      <c r="C804" s="52"/>
      <c r="D804" s="52"/>
      <c r="E804" s="58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</row>
    <row r="805" spans="1:25" ht="25.5" customHeight="1">
      <c r="A805" s="52"/>
      <c r="B805" s="52"/>
      <c r="C805" s="52"/>
      <c r="D805" s="52"/>
      <c r="E805" s="58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</row>
    <row r="806" spans="1:25" ht="25.5" customHeight="1">
      <c r="A806" s="52"/>
      <c r="B806" s="52"/>
      <c r="C806" s="52"/>
      <c r="D806" s="52"/>
      <c r="E806" s="58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</row>
    <row r="807" spans="1:25" ht="25.5" customHeight="1">
      <c r="A807" s="52"/>
      <c r="B807" s="52"/>
      <c r="C807" s="52"/>
      <c r="D807" s="52"/>
      <c r="E807" s="58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</row>
    <row r="808" spans="1:25" ht="25.5" customHeight="1">
      <c r="A808" s="52"/>
      <c r="B808" s="52"/>
      <c r="C808" s="52"/>
      <c r="D808" s="52"/>
      <c r="E808" s="58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</row>
    <row r="809" spans="1:25" ht="25.5" customHeight="1">
      <c r="A809" s="52"/>
      <c r="B809" s="52"/>
      <c r="C809" s="52"/>
      <c r="D809" s="52"/>
      <c r="E809" s="58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</row>
    <row r="810" spans="1:25" ht="25.5" customHeight="1">
      <c r="A810" s="52"/>
      <c r="B810" s="52"/>
      <c r="C810" s="52"/>
      <c r="D810" s="52"/>
      <c r="E810" s="58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</row>
    <row r="811" spans="1:25" ht="25.5" customHeight="1">
      <c r="A811" s="52"/>
      <c r="B811" s="52"/>
      <c r="C811" s="52"/>
      <c r="D811" s="52"/>
      <c r="E811" s="58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</row>
    <row r="812" spans="1:25" ht="25.5" customHeight="1">
      <c r="A812" s="52"/>
      <c r="B812" s="52"/>
      <c r="C812" s="52"/>
      <c r="D812" s="52"/>
      <c r="E812" s="58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</row>
    <row r="813" spans="1:25" ht="25.5" customHeight="1">
      <c r="A813" s="52"/>
      <c r="B813" s="52"/>
      <c r="C813" s="52"/>
      <c r="D813" s="52"/>
      <c r="E813" s="58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</row>
    <row r="814" spans="1:25" ht="25.5" customHeight="1">
      <c r="A814" s="52"/>
      <c r="B814" s="52"/>
      <c r="C814" s="52"/>
      <c r="D814" s="52"/>
      <c r="E814" s="58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</row>
    <row r="815" spans="1:25" ht="25.5" customHeight="1">
      <c r="A815" s="52"/>
      <c r="B815" s="52"/>
      <c r="C815" s="52"/>
      <c r="D815" s="52"/>
      <c r="E815" s="58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</row>
    <row r="816" spans="1:25" ht="25.5" customHeight="1">
      <c r="A816" s="52"/>
      <c r="B816" s="52"/>
      <c r="C816" s="52"/>
      <c r="D816" s="52"/>
      <c r="E816" s="58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</row>
    <row r="817" spans="1:25" ht="25.5" customHeight="1">
      <c r="A817" s="52"/>
      <c r="B817" s="52"/>
      <c r="C817" s="52"/>
      <c r="D817" s="52"/>
      <c r="E817" s="58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</row>
    <row r="818" spans="1:25" ht="25.5" customHeight="1">
      <c r="A818" s="52"/>
      <c r="B818" s="52"/>
      <c r="C818" s="52"/>
      <c r="D818" s="52"/>
      <c r="E818" s="58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</row>
    <row r="819" spans="1:25" ht="25.5" customHeight="1">
      <c r="A819" s="52"/>
      <c r="B819" s="52"/>
      <c r="C819" s="52"/>
      <c r="D819" s="52"/>
      <c r="E819" s="58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</row>
    <row r="820" spans="1:25" ht="25.5" customHeight="1">
      <c r="A820" s="52"/>
      <c r="B820" s="52"/>
      <c r="C820" s="52"/>
      <c r="D820" s="52"/>
      <c r="E820" s="58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</row>
    <row r="821" spans="1:25" ht="25.5" customHeight="1">
      <c r="A821" s="52"/>
      <c r="B821" s="52"/>
      <c r="C821" s="52"/>
      <c r="D821" s="52"/>
      <c r="E821" s="58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</row>
    <row r="822" spans="1:25" ht="25.5" customHeight="1">
      <c r="A822" s="52"/>
      <c r="B822" s="52"/>
      <c r="C822" s="52"/>
      <c r="D822" s="52"/>
      <c r="E822" s="58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</row>
    <row r="823" spans="1:25" ht="25.5" customHeight="1">
      <c r="A823" s="52"/>
      <c r="B823" s="52"/>
      <c r="C823" s="52"/>
      <c r="D823" s="52"/>
      <c r="E823" s="58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</row>
    <row r="824" spans="1:25" ht="25.5" customHeight="1">
      <c r="A824" s="52"/>
      <c r="B824" s="52"/>
      <c r="C824" s="52"/>
      <c r="D824" s="52"/>
      <c r="E824" s="58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</row>
    <row r="825" spans="1:25" ht="25.5" customHeight="1">
      <c r="A825" s="52"/>
      <c r="B825" s="52"/>
      <c r="C825" s="52"/>
      <c r="D825" s="52"/>
      <c r="E825" s="58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</row>
    <row r="826" spans="1:25" ht="25.5" customHeight="1">
      <c r="A826" s="52"/>
      <c r="B826" s="52"/>
      <c r="C826" s="52"/>
      <c r="D826" s="52"/>
      <c r="E826" s="58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</row>
    <row r="827" spans="1:25" ht="25.5" customHeight="1">
      <c r="A827" s="52"/>
      <c r="B827" s="52"/>
      <c r="C827" s="52"/>
      <c r="D827" s="52"/>
      <c r="E827" s="58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</row>
    <row r="828" spans="1:25" ht="25.5" customHeight="1">
      <c r="A828" s="52"/>
      <c r="B828" s="52"/>
      <c r="C828" s="52"/>
      <c r="D828" s="52"/>
      <c r="E828" s="58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</row>
    <row r="829" spans="1:25" ht="25.5" customHeight="1">
      <c r="A829" s="52"/>
      <c r="B829" s="52"/>
      <c r="C829" s="52"/>
      <c r="D829" s="52"/>
      <c r="E829" s="58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</row>
    <row r="830" spans="1:25" ht="25.5" customHeight="1">
      <c r="A830" s="52"/>
      <c r="B830" s="52"/>
      <c r="C830" s="52"/>
      <c r="D830" s="52"/>
      <c r="E830" s="58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</row>
    <row r="831" spans="1:25" ht="25.5" customHeight="1">
      <c r="A831" s="52"/>
      <c r="B831" s="52"/>
      <c r="C831" s="52"/>
      <c r="D831" s="52"/>
      <c r="E831" s="58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</row>
    <row r="832" spans="1:25" ht="25.5" customHeight="1">
      <c r="A832" s="52"/>
      <c r="B832" s="52"/>
      <c r="C832" s="52"/>
      <c r="D832" s="52"/>
      <c r="E832" s="58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</row>
    <row r="833" spans="1:25" ht="25.5" customHeight="1">
      <c r="A833" s="52"/>
      <c r="B833" s="52"/>
      <c r="C833" s="52"/>
      <c r="D833" s="52"/>
      <c r="E833" s="58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</row>
    <row r="834" spans="1:25" ht="25.5" customHeight="1">
      <c r="A834" s="52"/>
      <c r="B834" s="52"/>
      <c r="C834" s="52"/>
      <c r="D834" s="52"/>
      <c r="E834" s="58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</row>
    <row r="835" spans="1:25" ht="25.5" customHeight="1">
      <c r="A835" s="52"/>
      <c r="B835" s="52"/>
      <c r="C835" s="52"/>
      <c r="D835" s="52"/>
      <c r="E835" s="58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</row>
    <row r="836" spans="1:25" ht="25.5" customHeight="1">
      <c r="A836" s="52"/>
      <c r="B836" s="52"/>
      <c r="C836" s="52"/>
      <c r="D836" s="52"/>
      <c r="E836" s="58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</row>
    <row r="837" spans="1:25" ht="25.5" customHeight="1">
      <c r="A837" s="52"/>
      <c r="B837" s="52"/>
      <c r="C837" s="52"/>
      <c r="D837" s="52"/>
      <c r="E837" s="58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</row>
    <row r="838" spans="1:25" ht="25.5" customHeight="1">
      <c r="A838" s="52"/>
      <c r="B838" s="52"/>
      <c r="C838" s="52"/>
      <c r="D838" s="52"/>
      <c r="E838" s="58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</row>
    <row r="839" spans="1:25" ht="25.5" customHeight="1">
      <c r="A839" s="52"/>
      <c r="B839" s="52"/>
      <c r="C839" s="52"/>
      <c r="D839" s="52"/>
      <c r="E839" s="58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</row>
    <row r="840" spans="1:25" ht="25.5" customHeight="1">
      <c r="A840" s="52"/>
      <c r="B840" s="52"/>
      <c r="C840" s="52"/>
      <c r="D840" s="52"/>
      <c r="E840" s="58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</row>
    <row r="841" spans="1:25" ht="25.5" customHeight="1">
      <c r="A841" s="52"/>
      <c r="B841" s="52"/>
      <c r="C841" s="52"/>
      <c r="D841" s="52"/>
      <c r="E841" s="58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</row>
    <row r="842" spans="1:25" ht="25.5" customHeight="1">
      <c r="A842" s="52"/>
      <c r="B842" s="52"/>
      <c r="C842" s="52"/>
      <c r="D842" s="52"/>
      <c r="E842" s="58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</row>
    <row r="843" spans="1:25" ht="25.5" customHeight="1">
      <c r="A843" s="52"/>
      <c r="B843" s="52"/>
      <c r="C843" s="52"/>
      <c r="D843" s="52"/>
      <c r="E843" s="58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</row>
    <row r="844" spans="1:25" ht="25.5" customHeight="1">
      <c r="A844" s="52"/>
      <c r="B844" s="52"/>
      <c r="C844" s="52"/>
      <c r="D844" s="52"/>
      <c r="E844" s="58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</row>
    <row r="845" spans="1:25" ht="25.5" customHeight="1">
      <c r="A845" s="52"/>
      <c r="B845" s="52"/>
      <c r="C845" s="52"/>
      <c r="D845" s="52"/>
      <c r="E845" s="58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</row>
    <row r="846" spans="1:25" ht="25.5" customHeight="1">
      <c r="A846" s="52"/>
      <c r="B846" s="52"/>
      <c r="C846" s="52"/>
      <c r="D846" s="52"/>
      <c r="E846" s="58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</row>
    <row r="847" spans="1:25" ht="25.5" customHeight="1">
      <c r="A847" s="52"/>
      <c r="B847" s="52"/>
      <c r="C847" s="52"/>
      <c r="D847" s="52"/>
      <c r="E847" s="58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</row>
    <row r="848" spans="1:25" ht="25.5" customHeight="1">
      <c r="A848" s="52"/>
      <c r="B848" s="52"/>
      <c r="C848" s="52"/>
      <c r="D848" s="52"/>
      <c r="E848" s="58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</row>
    <row r="849" spans="1:25" ht="25.5" customHeight="1">
      <c r="A849" s="52"/>
      <c r="B849" s="52"/>
      <c r="C849" s="52"/>
      <c r="D849" s="52"/>
      <c r="E849" s="58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</row>
    <row r="850" spans="1:25" ht="25.5" customHeight="1">
      <c r="A850" s="52"/>
      <c r="B850" s="52"/>
      <c r="C850" s="52"/>
      <c r="D850" s="52"/>
      <c r="E850" s="58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</row>
    <row r="851" spans="1:25" ht="25.5" customHeight="1">
      <c r="A851" s="52"/>
      <c r="B851" s="52"/>
      <c r="C851" s="52"/>
      <c r="D851" s="52"/>
      <c r="E851" s="58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</row>
    <row r="852" spans="1:25" ht="25.5" customHeight="1">
      <c r="A852" s="52"/>
      <c r="B852" s="52"/>
      <c r="C852" s="52"/>
      <c r="D852" s="52"/>
      <c r="E852" s="58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</row>
    <row r="853" spans="1:25" ht="25.5" customHeight="1">
      <c r="A853" s="52"/>
      <c r="B853" s="52"/>
      <c r="C853" s="52"/>
      <c r="D853" s="52"/>
      <c r="E853" s="58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</row>
    <row r="854" spans="1:25" ht="25.5" customHeight="1">
      <c r="A854" s="52"/>
      <c r="B854" s="52"/>
      <c r="C854" s="52"/>
      <c r="D854" s="52"/>
      <c r="E854" s="58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</row>
    <row r="855" spans="1:25" ht="25.5" customHeight="1">
      <c r="A855" s="52"/>
      <c r="B855" s="52"/>
      <c r="C855" s="52"/>
      <c r="D855" s="52"/>
      <c r="E855" s="58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</row>
    <row r="856" spans="1:25" ht="25.5" customHeight="1">
      <c r="A856" s="52"/>
      <c r="B856" s="52"/>
      <c r="C856" s="52"/>
      <c r="D856" s="52"/>
      <c r="E856" s="58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</row>
    <row r="857" spans="1:25" ht="25.5" customHeight="1">
      <c r="A857" s="52"/>
      <c r="B857" s="52"/>
      <c r="C857" s="52"/>
      <c r="D857" s="52"/>
      <c r="E857" s="58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</row>
    <row r="858" spans="1:25" ht="25.5" customHeight="1">
      <c r="A858" s="52"/>
      <c r="B858" s="52"/>
      <c r="C858" s="52"/>
      <c r="D858" s="52"/>
      <c r="E858" s="58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</row>
    <row r="859" spans="1:25" ht="25.5" customHeight="1">
      <c r="A859" s="52"/>
      <c r="B859" s="52"/>
      <c r="C859" s="52"/>
      <c r="D859" s="52"/>
      <c r="E859" s="58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</row>
    <row r="860" spans="1:25" ht="25.5" customHeight="1">
      <c r="A860" s="52"/>
      <c r="B860" s="52"/>
      <c r="C860" s="52"/>
      <c r="D860" s="52"/>
      <c r="E860" s="58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</row>
    <row r="861" spans="1:25" ht="25.5" customHeight="1">
      <c r="A861" s="52"/>
      <c r="B861" s="52"/>
      <c r="C861" s="52"/>
      <c r="D861" s="52"/>
      <c r="E861" s="58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</row>
    <row r="862" spans="1:25" ht="25.5" customHeight="1">
      <c r="A862" s="52"/>
      <c r="B862" s="52"/>
      <c r="C862" s="52"/>
      <c r="D862" s="52"/>
      <c r="E862" s="58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</row>
    <row r="863" spans="1:25" ht="25.5" customHeight="1">
      <c r="A863" s="52"/>
      <c r="B863" s="52"/>
      <c r="C863" s="52"/>
      <c r="D863" s="52"/>
      <c r="E863" s="58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</row>
    <row r="864" spans="1:25" ht="25.5" customHeight="1">
      <c r="A864" s="52"/>
      <c r="B864" s="52"/>
      <c r="C864" s="52"/>
      <c r="D864" s="52"/>
      <c r="E864" s="58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</row>
    <row r="865" spans="1:25" ht="25.5" customHeight="1">
      <c r="A865" s="52"/>
      <c r="B865" s="52"/>
      <c r="C865" s="52"/>
      <c r="D865" s="52"/>
      <c r="E865" s="58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</row>
    <row r="866" spans="1:25" ht="25.5" customHeight="1">
      <c r="A866" s="52"/>
      <c r="B866" s="52"/>
      <c r="C866" s="52"/>
      <c r="D866" s="52"/>
      <c r="E866" s="58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</row>
    <row r="867" spans="1:25" ht="25.5" customHeight="1">
      <c r="A867" s="52"/>
      <c r="B867" s="52"/>
      <c r="C867" s="52"/>
      <c r="D867" s="52"/>
      <c r="E867" s="58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</row>
    <row r="868" spans="1:25" ht="25.5" customHeight="1">
      <c r="A868" s="52"/>
      <c r="B868" s="52"/>
      <c r="C868" s="52"/>
      <c r="D868" s="52"/>
      <c r="E868" s="58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</row>
    <row r="869" spans="1:25" ht="25.5" customHeight="1">
      <c r="A869" s="52"/>
      <c r="B869" s="52"/>
      <c r="C869" s="52"/>
      <c r="D869" s="52"/>
      <c r="E869" s="58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</row>
    <row r="870" spans="1:25" ht="25.5" customHeight="1">
      <c r="A870" s="52"/>
      <c r="B870" s="52"/>
      <c r="C870" s="52"/>
      <c r="D870" s="52"/>
      <c r="E870" s="58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</row>
    <row r="871" spans="1:25" ht="25.5" customHeight="1">
      <c r="A871" s="52"/>
      <c r="B871" s="52"/>
      <c r="C871" s="52"/>
      <c r="D871" s="52"/>
      <c r="E871" s="58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</row>
    <row r="872" spans="1:25" ht="25.5" customHeight="1">
      <c r="A872" s="52"/>
      <c r="B872" s="52"/>
      <c r="C872" s="52"/>
      <c r="D872" s="52"/>
      <c r="E872" s="58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</row>
    <row r="873" spans="1:25" ht="25.5" customHeight="1">
      <c r="A873" s="52"/>
      <c r="B873" s="52"/>
      <c r="C873" s="52"/>
      <c r="D873" s="52"/>
      <c r="E873" s="58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</row>
    <row r="874" spans="1:25" ht="25.5" customHeight="1">
      <c r="A874" s="52"/>
      <c r="B874" s="52"/>
      <c r="C874" s="52"/>
      <c r="D874" s="52"/>
      <c r="E874" s="58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</row>
    <row r="875" spans="1:25" ht="25.5" customHeight="1">
      <c r="A875" s="52"/>
      <c r="B875" s="52"/>
      <c r="C875" s="52"/>
      <c r="D875" s="52"/>
      <c r="E875" s="58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</row>
    <row r="876" spans="1:25" ht="25.5" customHeight="1">
      <c r="A876" s="52"/>
      <c r="B876" s="52"/>
      <c r="C876" s="52"/>
      <c r="D876" s="52"/>
      <c r="E876" s="58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</row>
    <row r="877" spans="1:25" ht="25.5" customHeight="1">
      <c r="A877" s="52"/>
      <c r="B877" s="52"/>
      <c r="C877" s="52"/>
      <c r="D877" s="52"/>
      <c r="E877" s="58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</row>
    <row r="878" spans="1:25" ht="25.5" customHeight="1">
      <c r="A878" s="52"/>
      <c r="B878" s="52"/>
      <c r="C878" s="52"/>
      <c r="D878" s="52"/>
      <c r="E878" s="58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</row>
    <row r="879" spans="1:25" ht="25.5" customHeight="1">
      <c r="A879" s="52"/>
      <c r="B879" s="52"/>
      <c r="C879" s="52"/>
      <c r="D879" s="52"/>
      <c r="E879" s="58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</row>
    <row r="880" spans="1:25" ht="25.5" customHeight="1">
      <c r="A880" s="52"/>
      <c r="B880" s="52"/>
      <c r="C880" s="52"/>
      <c r="D880" s="52"/>
      <c r="E880" s="58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</row>
    <row r="881" spans="1:25" ht="25.5" customHeight="1">
      <c r="A881" s="52"/>
      <c r="B881" s="52"/>
      <c r="C881" s="52"/>
      <c r="D881" s="52"/>
      <c r="E881" s="58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</row>
    <row r="882" spans="1:25" ht="25.5" customHeight="1">
      <c r="A882" s="52"/>
      <c r="B882" s="52"/>
      <c r="C882" s="52"/>
      <c r="D882" s="52"/>
      <c r="E882" s="58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</row>
    <row r="883" spans="1:25" ht="25.5" customHeight="1">
      <c r="A883" s="52"/>
      <c r="B883" s="52"/>
      <c r="C883" s="52"/>
      <c r="D883" s="52"/>
      <c r="E883" s="58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</row>
    <row r="884" spans="1:25" ht="25.5" customHeight="1">
      <c r="A884" s="52"/>
      <c r="B884" s="52"/>
      <c r="C884" s="52"/>
      <c r="D884" s="52"/>
      <c r="E884" s="58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</row>
    <row r="885" spans="1:25" ht="25.5" customHeight="1">
      <c r="A885" s="52"/>
      <c r="B885" s="52"/>
      <c r="C885" s="52"/>
      <c r="D885" s="52"/>
      <c r="E885" s="58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</row>
    <row r="886" spans="1:25" ht="25.5" customHeight="1">
      <c r="A886" s="52"/>
      <c r="B886" s="52"/>
      <c r="C886" s="52"/>
      <c r="D886" s="52"/>
      <c r="E886" s="58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</row>
    <row r="887" spans="1:25" ht="25.5" customHeight="1">
      <c r="A887" s="52"/>
      <c r="B887" s="52"/>
      <c r="C887" s="52"/>
      <c r="D887" s="52"/>
      <c r="E887" s="58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</row>
    <row r="888" spans="1:25" ht="25.5" customHeight="1">
      <c r="A888" s="52"/>
      <c r="B888" s="52"/>
      <c r="C888" s="52"/>
      <c r="D888" s="52"/>
      <c r="E888" s="58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</row>
    <row r="889" spans="1:25" ht="25.5" customHeight="1">
      <c r="A889" s="52"/>
      <c r="B889" s="52"/>
      <c r="C889" s="52"/>
      <c r="D889" s="52"/>
      <c r="E889" s="58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</row>
    <row r="890" spans="1:25" ht="25.5" customHeight="1">
      <c r="A890" s="52"/>
      <c r="B890" s="52"/>
      <c r="C890" s="52"/>
      <c r="D890" s="52"/>
      <c r="E890" s="58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</row>
    <row r="891" spans="1:25" ht="25.5" customHeight="1">
      <c r="A891" s="52"/>
      <c r="B891" s="52"/>
      <c r="C891" s="52"/>
      <c r="D891" s="52"/>
      <c r="E891" s="58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</row>
    <row r="892" spans="1:25" ht="25.5" customHeight="1">
      <c r="A892" s="52"/>
      <c r="B892" s="52"/>
      <c r="C892" s="52"/>
      <c r="D892" s="52"/>
      <c r="E892" s="58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</row>
    <row r="893" spans="1:25" ht="25.5" customHeight="1">
      <c r="A893" s="52"/>
      <c r="B893" s="52"/>
      <c r="C893" s="52"/>
      <c r="D893" s="52"/>
      <c r="E893" s="58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</row>
    <row r="894" spans="1:25" ht="25.5" customHeight="1">
      <c r="A894" s="52"/>
      <c r="B894" s="52"/>
      <c r="C894" s="52"/>
      <c r="D894" s="52"/>
      <c r="E894" s="58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</row>
    <row r="895" spans="1:25" ht="25.5" customHeight="1">
      <c r="A895" s="52"/>
      <c r="B895" s="52"/>
      <c r="C895" s="52"/>
      <c r="D895" s="52"/>
      <c r="E895" s="58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</row>
    <row r="896" spans="1:25" ht="25.5" customHeight="1">
      <c r="A896" s="52"/>
      <c r="B896" s="52"/>
      <c r="C896" s="52"/>
      <c r="D896" s="52"/>
      <c r="E896" s="58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</row>
    <row r="897" spans="1:25" ht="25.5" customHeight="1">
      <c r="A897" s="52"/>
      <c r="B897" s="52"/>
      <c r="C897" s="52"/>
      <c r="D897" s="52"/>
      <c r="E897" s="58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</row>
    <row r="898" spans="1:25" ht="25.5" customHeight="1">
      <c r="A898" s="52"/>
      <c r="B898" s="52"/>
      <c r="C898" s="52"/>
      <c r="D898" s="52"/>
      <c r="E898" s="58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</row>
    <row r="899" spans="1:25" ht="25.5" customHeight="1">
      <c r="A899" s="52"/>
      <c r="B899" s="52"/>
      <c r="C899" s="52"/>
      <c r="D899" s="52"/>
      <c r="E899" s="58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</row>
    <row r="900" spans="1:25" ht="25.5" customHeight="1">
      <c r="A900" s="52"/>
      <c r="B900" s="52"/>
      <c r="C900" s="52"/>
      <c r="D900" s="52"/>
      <c r="E900" s="58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</row>
    <row r="901" spans="1:25" ht="25.5" customHeight="1">
      <c r="A901" s="52"/>
      <c r="B901" s="52"/>
      <c r="C901" s="52"/>
      <c r="D901" s="52"/>
      <c r="E901" s="58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</row>
    <row r="902" spans="1:25" ht="25.5" customHeight="1">
      <c r="A902" s="52"/>
      <c r="B902" s="52"/>
      <c r="C902" s="52"/>
      <c r="D902" s="52"/>
      <c r="E902" s="58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</row>
    <row r="903" spans="1:25" ht="25.5" customHeight="1">
      <c r="A903" s="52"/>
      <c r="B903" s="52"/>
      <c r="C903" s="52"/>
      <c r="D903" s="52"/>
      <c r="E903" s="58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</row>
    <row r="904" spans="1:25" ht="25.5" customHeight="1">
      <c r="A904" s="52"/>
      <c r="B904" s="52"/>
      <c r="C904" s="52"/>
      <c r="D904" s="52"/>
      <c r="E904" s="58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</row>
    <row r="905" spans="1:25" ht="25.5" customHeight="1">
      <c r="A905" s="52"/>
      <c r="B905" s="52"/>
      <c r="C905" s="52"/>
      <c r="D905" s="52"/>
      <c r="E905" s="58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</row>
    <row r="906" spans="1:25" ht="25.5" customHeight="1">
      <c r="A906" s="52"/>
      <c r="B906" s="52"/>
      <c r="C906" s="52"/>
      <c r="D906" s="52"/>
      <c r="E906" s="58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</row>
    <row r="907" spans="1:25" ht="25.5" customHeight="1">
      <c r="A907" s="52"/>
      <c r="B907" s="52"/>
      <c r="C907" s="52"/>
      <c r="D907" s="52"/>
      <c r="E907" s="58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</row>
    <row r="908" spans="1:25" ht="25.5" customHeight="1">
      <c r="A908" s="52"/>
      <c r="B908" s="52"/>
      <c r="C908" s="52"/>
      <c r="D908" s="52"/>
      <c r="E908" s="58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</row>
    <row r="909" spans="1:25" ht="25.5" customHeight="1">
      <c r="A909" s="52"/>
      <c r="B909" s="52"/>
      <c r="C909" s="52"/>
      <c r="D909" s="52"/>
      <c r="E909" s="58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</row>
    <row r="910" spans="1:25" ht="25.5" customHeight="1">
      <c r="A910" s="52"/>
      <c r="B910" s="52"/>
      <c r="C910" s="52"/>
      <c r="D910" s="52"/>
      <c r="E910" s="58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</row>
    <row r="911" spans="1:25" ht="25.5" customHeight="1">
      <c r="A911" s="52"/>
      <c r="B911" s="52"/>
      <c r="C911" s="52"/>
      <c r="D911" s="52"/>
      <c r="E911" s="58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</row>
    <row r="912" spans="1:25" ht="25.5" customHeight="1">
      <c r="A912" s="52"/>
      <c r="B912" s="52"/>
      <c r="C912" s="52"/>
      <c r="D912" s="52"/>
      <c r="E912" s="58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</row>
    <row r="913" spans="1:25" ht="25.5" customHeight="1">
      <c r="A913" s="52"/>
      <c r="B913" s="52"/>
      <c r="C913" s="52"/>
      <c r="D913" s="52"/>
      <c r="E913" s="58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</row>
    <row r="914" spans="1:25" ht="25.5" customHeight="1">
      <c r="A914" s="52"/>
      <c r="B914" s="52"/>
      <c r="C914" s="52"/>
      <c r="D914" s="52"/>
      <c r="E914" s="58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</row>
    <row r="915" spans="1:25" ht="25.5" customHeight="1">
      <c r="A915" s="52"/>
      <c r="B915" s="52"/>
      <c r="C915" s="52"/>
      <c r="D915" s="52"/>
      <c r="E915" s="58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0"/>
  <sheetViews>
    <sheetView showGridLines="0" zoomScale="75" zoomScaleNormal="75" workbookViewId="0">
      <selection activeCell="C34" sqref="C34"/>
    </sheetView>
  </sheetViews>
  <sheetFormatPr defaultColWidth="12.5703125" defaultRowHeight="25.5" customHeight="1"/>
  <cols>
    <col min="1" max="2" width="16.5703125" bestFit="1" customWidth="1"/>
    <col min="3" max="3" width="100" bestFit="1" customWidth="1"/>
    <col min="4" max="4" width="4.140625" bestFit="1" customWidth="1"/>
    <col min="5" max="5" width="255.7109375" style="1" bestFit="1" customWidth="1"/>
  </cols>
  <sheetData>
    <row r="1" spans="1:5" ht="25.5" customHeight="1">
      <c r="A1" s="54" t="s">
        <v>2359</v>
      </c>
      <c r="B1" s="54" t="s">
        <v>0</v>
      </c>
      <c r="C1" s="54" t="s">
        <v>2360</v>
      </c>
      <c r="D1" s="54" t="s">
        <v>2361</v>
      </c>
      <c r="E1" s="56" t="s">
        <v>2362</v>
      </c>
    </row>
    <row r="2" spans="1:5" ht="25.5" customHeight="1">
      <c r="A2" s="47" t="s">
        <v>2363</v>
      </c>
      <c r="B2" s="45" t="s">
        <v>176</v>
      </c>
      <c r="C2" s="45" t="s">
        <v>177</v>
      </c>
      <c r="D2" s="45">
        <v>51</v>
      </c>
      <c r="E2" s="61" t="s">
        <v>3282</v>
      </c>
    </row>
    <row r="3" spans="1:5" ht="25.5" customHeight="1">
      <c r="A3" s="47" t="s">
        <v>2363</v>
      </c>
      <c r="B3" s="45" t="s">
        <v>174</v>
      </c>
      <c r="C3" s="45" t="s">
        <v>175</v>
      </c>
      <c r="D3" s="45">
        <v>51</v>
      </c>
      <c r="E3" s="61" t="s">
        <v>3283</v>
      </c>
    </row>
    <row r="4" spans="1:5" ht="25.5" customHeight="1">
      <c r="A4" s="47" t="s">
        <v>2363</v>
      </c>
      <c r="B4" s="45" t="s">
        <v>286</v>
      </c>
      <c r="C4" s="45" t="s">
        <v>287</v>
      </c>
      <c r="D4" s="45">
        <v>21</v>
      </c>
      <c r="E4" s="61" t="s">
        <v>3284</v>
      </c>
    </row>
    <row r="5" spans="1:5" ht="25.5" customHeight="1">
      <c r="A5" s="47" t="s">
        <v>2363</v>
      </c>
      <c r="B5" s="45" t="s">
        <v>166</v>
      </c>
      <c r="C5" s="45" t="s">
        <v>167</v>
      </c>
      <c r="D5" s="45">
        <v>34</v>
      </c>
      <c r="E5" s="61" t="s">
        <v>3285</v>
      </c>
    </row>
    <row r="6" spans="1:5" ht="25.5" customHeight="1">
      <c r="A6" s="47" t="s">
        <v>2363</v>
      </c>
      <c r="B6" s="45" t="s">
        <v>3286</v>
      </c>
      <c r="C6" s="45" t="s">
        <v>3287</v>
      </c>
      <c r="D6" s="45">
        <v>27</v>
      </c>
      <c r="E6" s="61" t="s">
        <v>3288</v>
      </c>
    </row>
    <row r="7" spans="1:5" ht="25.5" customHeight="1">
      <c r="A7" s="47" t="s">
        <v>2363</v>
      </c>
      <c r="B7" s="45" t="s">
        <v>240</v>
      </c>
      <c r="C7" s="45" t="s">
        <v>241</v>
      </c>
      <c r="D7" s="45">
        <v>26</v>
      </c>
      <c r="E7" s="61" t="s">
        <v>3289</v>
      </c>
    </row>
    <row r="8" spans="1:5" ht="25.5" customHeight="1">
      <c r="A8" s="47" t="s">
        <v>2363</v>
      </c>
      <c r="B8" s="45" t="s">
        <v>1083</v>
      </c>
      <c r="C8" s="45" t="s">
        <v>1084</v>
      </c>
      <c r="D8" s="45">
        <v>19</v>
      </c>
      <c r="E8" s="61" t="s">
        <v>3290</v>
      </c>
    </row>
    <row r="9" spans="1:5" ht="25.5" customHeight="1">
      <c r="A9" s="47" t="s">
        <v>2363</v>
      </c>
      <c r="B9" s="45" t="s">
        <v>3291</v>
      </c>
      <c r="C9" s="45" t="s">
        <v>3292</v>
      </c>
      <c r="D9" s="45">
        <v>25</v>
      </c>
      <c r="E9" s="61" t="s">
        <v>3293</v>
      </c>
    </row>
    <row r="10" spans="1:5" ht="25.5" customHeight="1">
      <c r="A10" s="47" t="s">
        <v>2363</v>
      </c>
      <c r="B10" s="45" t="s">
        <v>178</v>
      </c>
      <c r="C10" s="45" t="s">
        <v>179</v>
      </c>
      <c r="D10" s="45">
        <v>32</v>
      </c>
      <c r="E10" s="61" t="s">
        <v>3294</v>
      </c>
    </row>
    <row r="11" spans="1:5" ht="25.5" customHeight="1">
      <c r="A11" s="47" t="s">
        <v>2363</v>
      </c>
      <c r="B11" s="45" t="s">
        <v>1609</v>
      </c>
      <c r="C11" s="45" t="s">
        <v>1610</v>
      </c>
      <c r="D11" s="45">
        <v>6</v>
      </c>
      <c r="E11" s="61" t="s">
        <v>3295</v>
      </c>
    </row>
    <row r="12" spans="1:5" ht="25.5" customHeight="1">
      <c r="A12" s="49" t="s">
        <v>2383</v>
      </c>
      <c r="B12" s="45" t="s">
        <v>3296</v>
      </c>
      <c r="C12" s="45" t="s">
        <v>3297</v>
      </c>
      <c r="D12" s="45">
        <v>15</v>
      </c>
      <c r="E12" s="61" t="s">
        <v>3298</v>
      </c>
    </row>
    <row r="13" spans="1:5" ht="25.5" customHeight="1">
      <c r="A13" s="49" t="s">
        <v>2383</v>
      </c>
      <c r="B13" s="45" t="s">
        <v>2554</v>
      </c>
      <c r="C13" s="45" t="s">
        <v>3299</v>
      </c>
      <c r="D13" s="45">
        <v>12</v>
      </c>
      <c r="E13" s="61" t="s">
        <v>3300</v>
      </c>
    </row>
    <row r="14" spans="1:5" ht="25.5" customHeight="1">
      <c r="A14" s="49" t="s">
        <v>2383</v>
      </c>
      <c r="B14" s="45" t="s">
        <v>1165</v>
      </c>
      <c r="C14" s="45" t="s">
        <v>3301</v>
      </c>
      <c r="D14" s="45">
        <v>12</v>
      </c>
      <c r="E14" s="61" t="s">
        <v>3302</v>
      </c>
    </row>
    <row r="15" spans="1:5" ht="25.5" customHeight="1">
      <c r="A15" s="49" t="s">
        <v>2383</v>
      </c>
      <c r="B15" s="45" t="s">
        <v>796</v>
      </c>
      <c r="C15" s="45" t="s">
        <v>3303</v>
      </c>
      <c r="D15" s="45">
        <v>14</v>
      </c>
      <c r="E15" s="61" t="s">
        <v>3304</v>
      </c>
    </row>
    <row r="16" spans="1:5" ht="25.5" customHeight="1">
      <c r="A16" s="49" t="s">
        <v>2383</v>
      </c>
      <c r="B16" s="45" t="s">
        <v>3305</v>
      </c>
      <c r="C16" s="45" t="s">
        <v>3306</v>
      </c>
      <c r="D16" s="45">
        <v>21</v>
      </c>
      <c r="E16" s="61" t="s">
        <v>3307</v>
      </c>
    </row>
    <row r="17" spans="1:5" ht="25.5" customHeight="1">
      <c r="A17" s="49" t="s">
        <v>2383</v>
      </c>
      <c r="B17" s="45" t="s">
        <v>904</v>
      </c>
      <c r="C17" s="45" t="s">
        <v>905</v>
      </c>
      <c r="D17" s="45">
        <v>12</v>
      </c>
      <c r="E17" s="61" t="s">
        <v>3308</v>
      </c>
    </row>
    <row r="18" spans="1:5" ht="25.5" customHeight="1">
      <c r="A18" s="49" t="s">
        <v>2383</v>
      </c>
      <c r="B18" s="45" t="s">
        <v>944</v>
      </c>
      <c r="C18" s="45" t="s">
        <v>3309</v>
      </c>
      <c r="D18" s="45">
        <v>15</v>
      </c>
      <c r="E18" s="61" t="s">
        <v>3310</v>
      </c>
    </row>
    <row r="19" spans="1:5" ht="25.5" customHeight="1">
      <c r="A19" s="49" t="s">
        <v>2383</v>
      </c>
      <c r="B19" s="45" t="s">
        <v>952</v>
      </c>
      <c r="C19" s="45" t="s">
        <v>953</v>
      </c>
      <c r="D19" s="45">
        <v>15</v>
      </c>
      <c r="E19" s="61" t="s">
        <v>3311</v>
      </c>
    </row>
    <row r="20" spans="1:5" ht="25.5" customHeight="1">
      <c r="A20" s="49" t="s">
        <v>2383</v>
      </c>
      <c r="B20" s="45" t="s">
        <v>496</v>
      </c>
      <c r="C20" s="45" t="s">
        <v>497</v>
      </c>
      <c r="D20" s="45">
        <v>12</v>
      </c>
      <c r="E20" s="61" t="s">
        <v>3312</v>
      </c>
    </row>
    <row r="21" spans="1:5" ht="25.5" customHeight="1">
      <c r="A21" s="49" t="s">
        <v>2383</v>
      </c>
      <c r="B21" s="45" t="s">
        <v>16</v>
      </c>
      <c r="C21" s="45" t="s">
        <v>17</v>
      </c>
      <c r="D21" s="45">
        <v>56</v>
      </c>
      <c r="E21" s="61" t="s">
        <v>3313</v>
      </c>
    </row>
    <row r="22" spans="1:5" ht="25.5" customHeight="1">
      <c r="A22" s="51" t="s">
        <v>2406</v>
      </c>
      <c r="B22" s="45" t="s">
        <v>3314</v>
      </c>
      <c r="C22" s="45" t="s">
        <v>3315</v>
      </c>
      <c r="D22" s="45">
        <v>10</v>
      </c>
      <c r="E22" s="61" t="s">
        <v>3316</v>
      </c>
    </row>
    <row r="23" spans="1:5" ht="25.5" customHeight="1">
      <c r="A23" s="51" t="s">
        <v>2406</v>
      </c>
      <c r="B23" s="45" t="s">
        <v>3317</v>
      </c>
      <c r="C23" s="45" t="s">
        <v>3318</v>
      </c>
      <c r="D23" s="45">
        <v>16</v>
      </c>
      <c r="E23" s="61" t="s">
        <v>3319</v>
      </c>
    </row>
    <row r="24" spans="1:5" ht="25.5" customHeight="1">
      <c r="A24" s="51" t="s">
        <v>2406</v>
      </c>
      <c r="B24" s="45" t="s">
        <v>3320</v>
      </c>
      <c r="C24" s="45" t="s">
        <v>3321</v>
      </c>
      <c r="D24" s="45">
        <v>6</v>
      </c>
      <c r="E24" s="61" t="s">
        <v>3322</v>
      </c>
    </row>
    <row r="25" spans="1:5" ht="25.5" customHeight="1">
      <c r="A25" s="51" t="s">
        <v>2406</v>
      </c>
      <c r="B25" s="45" t="s">
        <v>3323</v>
      </c>
      <c r="C25" s="45" t="s">
        <v>3323</v>
      </c>
      <c r="D25" s="45">
        <v>10</v>
      </c>
      <c r="E25" s="61" t="s">
        <v>3295</v>
      </c>
    </row>
    <row r="26" spans="1:5" ht="25.5" customHeight="1">
      <c r="A26" s="51" t="s">
        <v>2406</v>
      </c>
      <c r="B26" s="45" t="s">
        <v>3324</v>
      </c>
      <c r="C26" s="45" t="s">
        <v>3325</v>
      </c>
      <c r="D26" s="45">
        <v>11</v>
      </c>
      <c r="E26" s="61" t="s">
        <v>3326</v>
      </c>
    </row>
    <row r="27" spans="1:5" ht="25.5" customHeight="1">
      <c r="A27" s="51" t="s">
        <v>2406</v>
      </c>
      <c r="B27" s="45" t="s">
        <v>3327</v>
      </c>
      <c r="C27" s="45" t="s">
        <v>3328</v>
      </c>
      <c r="D27" s="45">
        <v>11</v>
      </c>
      <c r="E27" s="61" t="s">
        <v>3329</v>
      </c>
    </row>
    <row r="28" spans="1:5" ht="25.5" customHeight="1">
      <c r="A28" s="51" t="s">
        <v>2406</v>
      </c>
      <c r="B28" s="45" t="s">
        <v>522</v>
      </c>
      <c r="C28" s="45" t="s">
        <v>3330</v>
      </c>
      <c r="D28" s="45">
        <v>8</v>
      </c>
      <c r="E28" s="61" t="s">
        <v>3331</v>
      </c>
    </row>
    <row r="29" spans="1:5" ht="25.5" customHeight="1">
      <c r="A29" s="51" t="s">
        <v>2406</v>
      </c>
      <c r="B29" s="45" t="s">
        <v>3332</v>
      </c>
      <c r="C29" s="45" t="s">
        <v>3333</v>
      </c>
      <c r="D29" s="45">
        <v>5</v>
      </c>
      <c r="E29" s="61" t="s">
        <v>3334</v>
      </c>
    </row>
    <row r="30" spans="1:5" ht="25.5" customHeight="1">
      <c r="A30" s="51" t="s">
        <v>2406</v>
      </c>
      <c r="B30" s="45" t="s">
        <v>1151</v>
      </c>
      <c r="C30" s="45" t="s">
        <v>1152</v>
      </c>
      <c r="D30" s="45">
        <v>10</v>
      </c>
      <c r="E30" s="61" t="s">
        <v>3335</v>
      </c>
    </row>
  </sheetData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1"/>
  <sheetViews>
    <sheetView showGridLines="0" workbookViewId="0">
      <selection activeCell="C34" sqref="C34"/>
    </sheetView>
  </sheetViews>
  <sheetFormatPr defaultColWidth="12.5703125" defaultRowHeight="25.5" customHeight="1"/>
  <cols>
    <col min="1" max="1" width="7.28515625" style="65" bestFit="1" customWidth="1"/>
    <col min="2" max="2" width="12.140625" style="65" bestFit="1" customWidth="1"/>
    <col min="3" max="3" width="97" style="65" bestFit="1" customWidth="1"/>
    <col min="4" max="4" width="4.140625" style="65" bestFit="1" customWidth="1"/>
    <col min="5" max="5" width="94.42578125" style="66" bestFit="1" customWidth="1"/>
    <col min="6" max="16384" width="12.5703125" style="65"/>
  </cols>
  <sheetData>
    <row r="1" spans="1:25" ht="25.5" customHeight="1">
      <c r="A1" s="71" t="str">
        <f ca="1">IFERROR(__xludf.DUMMYFUNCTION("importrange(""https://docs.google.com/spreadsheets/d/11a29ScXGzpdP6ZouRlX_RWF8OSj4CbHaGWV79xjDSeg/edit#gid=174282740"",""CE-MF!A1:J150"")"),"TOP")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25.5" customHeight="1">
      <c r="A2" s="67" t="str">
        <f ca="1">IFERROR(__xludf.DUMMYFUNCTION("""COMPUTED_VALUE"""),"Top 10")</f>
        <v>Top 10</v>
      </c>
      <c r="B2" s="60" t="str">
        <f ca="1">IFERROR(__xludf.DUMMYFUNCTION("""COMPUTED_VALUE"""),"FM")</f>
        <v>FM</v>
      </c>
      <c r="C2" s="60" t="str">
        <f ca="1">IFERROR(__xludf.DUMMYFUNCTION("""COMPUTED_VALUE"""),"Formal Methods")</f>
        <v>Formal Methods</v>
      </c>
      <c r="D2" s="60">
        <f ca="1">IFERROR(__xludf.DUMMYFUNCTION("""COMPUTED_VALUE"""),19)</f>
        <v>19</v>
      </c>
      <c r="E2" s="60" t="str">
        <f ca="1">IFERROR(__xludf.DUMMYFUNCTION("""COMPUTED_VALUE"""),"https://scholar.google.com.br/citations?hl=en&amp;view_op=list_hcore&amp;venue=mvAUTVUvOS0J.2019")</f>
        <v>https://scholar.google.com.br/citations?hl=en&amp;view_op=list_hcore&amp;venue=mvAUTVUvOS0J.2019</v>
      </c>
    </row>
    <row r="3" spans="1:25" ht="25.5" customHeight="1">
      <c r="A3" s="67" t="str">
        <f ca="1">IFERROR(__xludf.DUMMYFUNCTION("""COMPUTED_VALUE"""),"Top 10")</f>
        <v>Top 10</v>
      </c>
      <c r="B3" s="60" t="str">
        <f ca="1">IFERROR(__xludf.DUMMYFUNCTION("""COMPUTED_VALUE"""),"TACAS")</f>
        <v>TACAS</v>
      </c>
      <c r="C3" s="68" t="str">
        <f ca="1">IFERROR(__xludf.DUMMYFUNCTION("""COMPUTED_VALUE"""),"International Conference on Tools and Algorithms for the Construction and Analysis of Systems")</f>
        <v>International Conference on Tools and Algorithms for the Construction and Analysis of Systems</v>
      </c>
      <c r="D3" s="60">
        <f ca="1">IFERROR(__xludf.DUMMYFUNCTION("""COMPUTED_VALUE"""),36)</f>
        <v>36</v>
      </c>
      <c r="E3" s="60" t="str">
        <f ca="1">IFERROR(__xludf.DUMMYFUNCTION("""COMPUTED_VALUE"""),"https://scholar.google.com.br/citations?hl=en&amp;view_op=list_hcore&amp;venue=_zC9HnSttFIJ.2019")</f>
        <v>https://scholar.google.com.br/citations?hl=en&amp;view_op=list_hcore&amp;venue=_zC9HnSttFIJ.2019</v>
      </c>
    </row>
    <row r="4" spans="1:25" ht="25.5" customHeight="1">
      <c r="A4" s="67" t="str">
        <f ca="1">IFERROR(__xludf.DUMMYFUNCTION("""COMPUTED_VALUE"""),"Top 10")</f>
        <v>Top 10</v>
      </c>
      <c r="B4" s="60" t="str">
        <f ca="1">IFERROR(__xludf.DUMMYFUNCTION("""COMPUTED_VALUE"""),"FASE")</f>
        <v>FASE</v>
      </c>
      <c r="C4" s="60" t="str">
        <f ca="1">IFERROR(__xludf.DUMMYFUNCTION("""COMPUTED_VALUE"""),"Fundamental Approaches to Software Engineering")</f>
        <v>Fundamental Approaches to Software Engineering</v>
      </c>
      <c r="D4" s="60">
        <f ca="1">IFERROR(__xludf.DUMMYFUNCTION("""COMPUTED_VALUE"""),18)</f>
        <v>18</v>
      </c>
      <c r="E4" s="60" t="str">
        <f ca="1">IFERROR(__xludf.DUMMYFUNCTION("""COMPUTED_VALUE"""),"https://scholar.google.com.br/citations?hl=en&amp;view_op=list_hcore&amp;venue=KaKG4ZSdHz4J.2019")</f>
        <v>https://scholar.google.com.br/citations?hl=en&amp;view_op=list_hcore&amp;venue=KaKG4ZSdHz4J.2019</v>
      </c>
    </row>
    <row r="5" spans="1:25" ht="25.5" customHeight="1">
      <c r="A5" s="67" t="str">
        <f ca="1">IFERROR(__xludf.DUMMYFUNCTION("""COMPUTED_VALUE"""),"Top 10")</f>
        <v>Top 10</v>
      </c>
      <c r="B5" s="60" t="str">
        <f ca="1">IFERROR(__xludf.DUMMYFUNCTION("""COMPUTED_VALUE"""),"FMCAD")</f>
        <v>FMCAD</v>
      </c>
      <c r="C5" s="60" t="str">
        <f ca="1">IFERROR(__xludf.DUMMYFUNCTION("""COMPUTED_VALUE"""),"International Conference on Formal Methods in Computer-Aided Design")</f>
        <v>International Conference on Formal Methods in Computer-Aided Design</v>
      </c>
      <c r="D5" s="60">
        <f ca="1">IFERROR(__xludf.DUMMYFUNCTION("""COMPUTED_VALUE"""),17)</f>
        <v>17</v>
      </c>
      <c r="E5" s="60" t="str">
        <f ca="1">IFERROR(__xludf.DUMMYFUNCTION("""COMPUTED_VALUE"""),"https://scholar.google.com.br/citations?hl=en&amp;view_op=list_hcore&amp;venue=s5Z0Q8BPlvwJ.2019")</f>
        <v>https://scholar.google.com.br/citations?hl=en&amp;view_op=list_hcore&amp;venue=s5Z0Q8BPlvwJ.2019</v>
      </c>
    </row>
    <row r="6" spans="1:25" ht="25.5" customHeight="1">
      <c r="A6" s="67" t="str">
        <f ca="1">IFERROR(__xludf.DUMMYFUNCTION("""COMPUTED_VALUE"""),"Top 10")</f>
        <v>Top 10</v>
      </c>
      <c r="B6" s="60" t="str">
        <f ca="1">IFERROR(__xludf.DUMMYFUNCTION("""COMPUTED_VALUE"""),"SEFM")</f>
        <v>SEFM</v>
      </c>
      <c r="C6" s="60" t="str">
        <f ca="1">IFERROR(__xludf.DUMMYFUNCTION("""COMPUTED_VALUE"""),"Software Engineering and Formal Methods")</f>
        <v>Software Engineering and Formal Methods</v>
      </c>
      <c r="D6" s="60">
        <f ca="1">IFERROR(__xludf.DUMMYFUNCTION("""COMPUTED_VALUE"""),14)</f>
        <v>14</v>
      </c>
      <c r="E6" s="60" t="str">
        <f ca="1">IFERROR(__xludf.DUMMYFUNCTION("""COMPUTED_VALUE"""),"https://scholar.google.com.br/citations?hl=en&amp;view_op=list_hcore&amp;venue=8ADvAx1bYPYJ.2019")</f>
        <v>https://scholar.google.com.br/citations?hl=en&amp;view_op=list_hcore&amp;venue=8ADvAx1bYPYJ.2019</v>
      </c>
    </row>
    <row r="7" spans="1:25" ht="25.5" customHeight="1">
      <c r="A7" s="67" t="str">
        <f ca="1">IFERROR(__xludf.DUMMYFUNCTION("""COMPUTED_VALUE"""),"Top 10")</f>
        <v>Top 10</v>
      </c>
      <c r="B7" s="60" t="str">
        <f ca="1">IFERROR(__xludf.DUMMYFUNCTION("""COMPUTED_VALUE"""),"ICFEM")</f>
        <v>ICFEM</v>
      </c>
      <c r="C7" s="60" t="str">
        <f ca="1">IFERROR(__xludf.DUMMYFUNCTION("""COMPUTED_VALUE"""),"International Conference on Formal Engineering Methods")</f>
        <v>International Conference on Formal Engineering Methods</v>
      </c>
      <c r="D7" s="60">
        <f ca="1">IFERROR(__xludf.DUMMYFUNCTION("""COMPUTED_VALUE"""),13)</f>
        <v>13</v>
      </c>
      <c r="E7" s="60" t="str">
        <f ca="1">IFERROR(__xludf.DUMMYFUNCTION("""COMPUTED_VALUE"""),"https://scholar.google.com.br/citations?hl=en&amp;view_op=list_hcore&amp;venue=LIYEKQ4Mf5YJ.2019")</f>
        <v>https://scholar.google.com.br/citations?hl=en&amp;view_op=list_hcore&amp;venue=LIYEKQ4Mf5YJ.2019</v>
      </c>
    </row>
    <row r="8" spans="1:25" ht="25.5" customHeight="1">
      <c r="A8" s="67" t="str">
        <f ca="1">IFERROR(__xludf.DUMMYFUNCTION("""COMPUTED_VALUE"""),"Top 10")</f>
        <v>Top 10</v>
      </c>
      <c r="B8" s="60" t="str">
        <f ca="1">IFERROR(__xludf.DUMMYFUNCTION("""COMPUTED_VALUE"""),"IFM ")</f>
        <v xml:space="preserve">IFM </v>
      </c>
      <c r="C8" s="60" t="str">
        <f ca="1">IFERROR(__xludf.DUMMYFUNCTION("""COMPUTED_VALUE"""),"Integrated Formal Methods")</f>
        <v>Integrated Formal Methods</v>
      </c>
      <c r="D8" s="60">
        <f ca="1">IFERROR(__xludf.DUMMYFUNCTION("""COMPUTED_VALUE"""),12)</f>
        <v>12</v>
      </c>
      <c r="E8" s="60" t="str">
        <f ca="1">IFERROR(__xludf.DUMMYFUNCTION("""COMPUTED_VALUE"""),"https://scholar.google.com.br/citations?hl=en&amp;view_op=list_hcore&amp;venue=Gzge6qp3seEJ.2019")</f>
        <v>https://scholar.google.com.br/citations?hl=en&amp;view_op=list_hcore&amp;venue=Gzge6qp3seEJ.2019</v>
      </c>
    </row>
    <row r="9" spans="1:25" ht="25.5" customHeight="1">
      <c r="A9" s="67" t="str">
        <f ca="1">IFERROR(__xludf.DUMMYFUNCTION("""COMPUTED_VALUE"""),"Top 10")</f>
        <v>Top 10</v>
      </c>
      <c r="B9" s="60" t="str">
        <f ca="1">IFERROR(__xludf.DUMMYFUNCTION("""COMPUTED_VALUE"""),"NFM")</f>
        <v>NFM</v>
      </c>
      <c r="C9" s="60" t="str">
        <f ca="1">IFERROR(__xludf.DUMMYFUNCTION("""COMPUTED_VALUE"""),"Nasa Formal Methods")</f>
        <v>Nasa Formal Methods</v>
      </c>
      <c r="D9" s="60">
        <f ca="1">IFERROR(__xludf.DUMMYFUNCTION("""COMPUTED_VALUE"""),16)</f>
        <v>16</v>
      </c>
      <c r="E9" s="60" t="str">
        <f ca="1">IFERROR(__xludf.DUMMYFUNCTION("""COMPUTED_VALUE"""),"https://scholar.google.com.br/citations?hl=en&amp;view_op=list_hcore&amp;venue=Nw9VzNrATcAJ.2019")</f>
        <v>https://scholar.google.com.br/citations?hl=en&amp;view_op=list_hcore&amp;venue=Nw9VzNrATcAJ.2019</v>
      </c>
    </row>
    <row r="10" spans="1:25" ht="25.5" customHeight="1">
      <c r="A10" s="67" t="str">
        <f ca="1">IFERROR(__xludf.DUMMYFUNCTION("""COMPUTED_VALUE"""),"Top 10")</f>
        <v>Top 10</v>
      </c>
      <c r="B10" s="60" t="str">
        <f ca="1">IFERROR(__xludf.DUMMYFUNCTION("""COMPUTED_VALUE"""),"CAV")</f>
        <v>CAV</v>
      </c>
      <c r="C10" s="69" t="str">
        <f ca="1">IFERROR(__xludf.DUMMYFUNCTION("""COMPUTED_VALUE"""),"International Conference on Computer Aided Verification")</f>
        <v>International Conference on Computer Aided Verification</v>
      </c>
      <c r="D10" s="60">
        <f ca="1">IFERROR(__xludf.DUMMYFUNCTION("""COMPUTED_VALUE"""),39)</f>
        <v>39</v>
      </c>
      <c r="E10" s="60" t="str">
        <f ca="1">IFERROR(__xludf.DUMMYFUNCTION("""COMPUTED_VALUE"""),"https://scholar.google.com.br/citations?hl=en&amp;view_op=list_hcore&amp;venue=qgBvh59sjMQJ.2019")</f>
        <v>https://scholar.google.com.br/citations?hl=en&amp;view_op=list_hcore&amp;venue=qgBvh59sjMQJ.2019</v>
      </c>
    </row>
    <row r="11" spans="1:25" ht="25.5" customHeight="1">
      <c r="A11" s="67" t="str">
        <f ca="1">IFERROR(__xludf.DUMMYFUNCTION("""COMPUTED_VALUE"""),"Top 10")</f>
        <v>Top 10</v>
      </c>
      <c r="B11" s="60" t="str">
        <f ca="1">IFERROR(__xludf.DUMMYFUNCTION("""COMPUTED_VALUE"""),"SBMF ")</f>
        <v xml:space="preserve">SBMF </v>
      </c>
      <c r="C11" s="60" t="str">
        <f ca="1">IFERROR(__xludf.DUMMYFUNCTION("""COMPUTED_VALUE"""),"Simpósio Brasileiro de Métodos Formais")</f>
        <v>Simpósio Brasileiro de Métodos Formais</v>
      </c>
      <c r="D11" s="60"/>
      <c r="E11" s="60"/>
    </row>
    <row r="12" spans="1:25" ht="25.5" customHeight="1">
      <c r="A12" s="70" t="str">
        <f ca="1">IFERROR(__xludf.DUMMYFUNCTION("""COMPUTED_VALUE"""),"Top 20")</f>
        <v>Top 20</v>
      </c>
      <c r="B12" s="60" t="str">
        <f ca="1">IFERROR(__xludf.DUMMYFUNCTION("""COMPUTED_VALUE"""),"CONCUR")</f>
        <v>CONCUR</v>
      </c>
      <c r="C12" s="69" t="str">
        <f ca="1">IFERROR(__xludf.DUMMYFUNCTION("""COMPUTED_VALUE"""),"International Conference on Concurrency Theory")</f>
        <v>International Conference on Concurrency Theory</v>
      </c>
      <c r="D12" s="60">
        <f ca="1">IFERROR(__xludf.DUMMYFUNCTION("""COMPUTED_VALUE"""),21)</f>
        <v>21</v>
      </c>
      <c r="E12" s="60" t="str">
        <f ca="1">IFERROR(__xludf.DUMMYFUNCTION("""COMPUTED_VALUE"""),"https://scholar.google.com.br/citations?hl=en&amp;view_op=list_hcore&amp;venue=wkpUPIDgNa4J.2019")</f>
        <v>https://scholar.google.com.br/citations?hl=en&amp;view_op=list_hcore&amp;venue=wkpUPIDgNa4J.2019</v>
      </c>
    </row>
    <row r="13" spans="1:25" ht="25.5" customHeight="1">
      <c r="A13" s="70" t="str">
        <f ca="1">IFERROR(__xludf.DUMMYFUNCTION("""COMPUTED_VALUE"""),"Top 20")</f>
        <v>Top 20</v>
      </c>
      <c r="B13" s="60" t="str">
        <f ca="1">IFERROR(__xludf.DUMMYFUNCTION("""COMPUTED_VALUE"""),"ICTAC ")</f>
        <v xml:space="preserve">ICTAC </v>
      </c>
      <c r="C13" s="60" t="str">
        <f ca="1">IFERROR(__xludf.DUMMYFUNCTION("""COMPUTED_VALUE"""),"International Colloquium on Theoretical Aspects of Computing")</f>
        <v>International Colloquium on Theoretical Aspects of Computing</v>
      </c>
      <c r="D13" s="60">
        <f ca="1">IFERROR(__xludf.DUMMYFUNCTION("""COMPUTED_VALUE"""),13)</f>
        <v>13</v>
      </c>
      <c r="E13" s="60" t="str">
        <f ca="1">IFERROR(__xludf.DUMMYFUNCTION("""COMPUTED_VALUE"""),"https://scholar.google.com.br/citations?hl=en&amp;view_op=list_hcore&amp;venue=foujqxJmEBEJ.2019")</f>
        <v>https://scholar.google.com.br/citations?hl=en&amp;view_op=list_hcore&amp;venue=foujqxJmEBEJ.2019</v>
      </c>
    </row>
    <row r="14" spans="1:25" ht="25.5" customHeight="1">
      <c r="A14" s="70" t="str">
        <f ca="1">IFERROR(__xludf.DUMMYFUNCTION("""COMPUTED_VALUE"""),"Top 20")</f>
        <v>Top 20</v>
      </c>
      <c r="B14" s="60" t="str">
        <f ca="1">IFERROR(__xludf.DUMMYFUNCTION("""COMPUTED_VALUE"""),"CADE/IJCAR")</f>
        <v>CADE/IJCAR</v>
      </c>
      <c r="C14" s="60" t="str">
        <f ca="1">IFERROR(__xludf.DUMMYFUNCTION("""COMPUTED_VALUE"""),"International Conference on Automated Deduction")</f>
        <v>International Conference on Automated Deduction</v>
      </c>
      <c r="D14" s="60">
        <f ca="1">IFERROR(__xludf.DUMMYFUNCTION("""COMPUTED_VALUE"""),17)</f>
        <v>17</v>
      </c>
      <c r="E14" s="60" t="str">
        <f ca="1">IFERROR(__xludf.DUMMYFUNCTION("""COMPUTED_VALUE"""),"https://scholar.google.com.br/citations?hl=en&amp;view_op=list_hcore&amp;venue=uulzuBwI1mAJ.2019")</f>
        <v>https://scholar.google.com.br/citations?hl=en&amp;view_op=list_hcore&amp;venue=uulzuBwI1mAJ.2019</v>
      </c>
    </row>
    <row r="15" spans="1:25" ht="25.5" customHeight="1">
      <c r="A15" s="70" t="str">
        <f ca="1">IFERROR(__xludf.DUMMYFUNCTION("""COMPUTED_VALUE"""),"Top 20")</f>
        <v>Top 20</v>
      </c>
      <c r="B15" s="60" t="str">
        <f ca="1">IFERROR(__xludf.DUMMYFUNCTION("""COMPUTED_VALUE"""),"ABZ")</f>
        <v>ABZ</v>
      </c>
      <c r="C15" s="60" t="str">
        <f ca="1">IFERROR(__xludf.DUMMYFUNCTION("""COMPUTED_VALUE"""),"International ABZ Conference ASM, Alloy, B, TLA, VDM, Z")</f>
        <v>International ABZ Conference ASM, Alloy, B, TLA, VDM, Z</v>
      </c>
      <c r="D15" s="60">
        <f ca="1">IFERROR(__xludf.DUMMYFUNCTION("""COMPUTED_VALUE"""),13)</f>
        <v>13</v>
      </c>
      <c r="E15" s="60" t="str">
        <f ca="1">IFERROR(__xludf.DUMMYFUNCTION("""COMPUTED_VALUE"""),"https://scholar.google.com.br/citations?hl=en&amp;view_op=list_hcore&amp;venue=P_bGcOzNXgIJ.2019")</f>
        <v>https://scholar.google.com.br/citations?hl=en&amp;view_op=list_hcore&amp;venue=P_bGcOzNXgIJ.2019</v>
      </c>
    </row>
    <row r="16" spans="1:25" ht="25.5" customHeight="1">
      <c r="A16" s="70" t="str">
        <f ca="1">IFERROR(__xludf.DUMMYFUNCTION("""COMPUTED_VALUE"""),"Top 20")</f>
        <v>Top 20</v>
      </c>
      <c r="B16" s="60" t="str">
        <f ca="1">IFERROR(__xludf.DUMMYFUNCTION("""COMPUTED_VALUE"""),"FACS")</f>
        <v>FACS</v>
      </c>
      <c r="C16" s="60" t="str">
        <f ca="1">IFERROR(__xludf.DUMMYFUNCTION("""COMPUTED_VALUE"""),"International Conference on Formal Aspects of Component Software")</f>
        <v>International Conference on Formal Aspects of Component Software</v>
      </c>
      <c r="D16" s="60">
        <f ca="1">IFERROR(__xludf.DUMMYFUNCTION("""COMPUTED_VALUE"""),19)</f>
        <v>19</v>
      </c>
      <c r="E16" s="60" t="str">
        <f ca="1">IFERROR(__xludf.DUMMYFUNCTION("""COMPUTED_VALUE"""),"https://scholar.google.com.br/citations?hl=en&amp;view_op=list_hcore&amp;venue=1wsH4YLiPpcJ.2019")</f>
        <v>https://scholar.google.com.br/citations?hl=en&amp;view_op=list_hcore&amp;venue=1wsH4YLiPpcJ.2019</v>
      </c>
    </row>
    <row r="17" spans="1:5" ht="25.5" customHeight="1">
      <c r="A17" s="70" t="str">
        <f ca="1">IFERROR(__xludf.DUMMYFUNCTION("""COMPUTED_VALUE"""),"Top 20")</f>
        <v>Top 20</v>
      </c>
      <c r="B17" s="60" t="str">
        <f ca="1">IFERROR(__xludf.DUMMYFUNCTION("""COMPUTED_VALUE"""),"ISOLA")</f>
        <v>ISOLA</v>
      </c>
      <c r="C17" s="60" t="str">
        <f ca="1">IFERROR(__xludf.DUMMYFUNCTION("""COMPUTED_VALUE"""),"International Symposium on Leveraging Applications of Formal Methods, Verification and Validation")</f>
        <v>International Symposium on Leveraging Applications of Formal Methods, Verification and Validation</v>
      </c>
      <c r="D17" s="60">
        <f ca="1">IFERROR(__xludf.DUMMYFUNCTION("""COMPUTED_VALUE"""),17)</f>
        <v>17</v>
      </c>
      <c r="E17" s="60" t="str">
        <f ca="1">IFERROR(__xludf.DUMMYFUNCTION("""COMPUTED_VALUE"""),"https://scholar.google.com.br/citations?hl=en&amp;view_op=list_hcore&amp;venue=wOH94ungceEJ.2019")</f>
        <v>https://scholar.google.com.br/citations?hl=en&amp;view_op=list_hcore&amp;venue=wOH94ungceEJ.2019</v>
      </c>
    </row>
    <row r="18" spans="1:5" ht="25.5" customHeight="1">
      <c r="A18" s="70" t="str">
        <f ca="1">IFERROR(__xludf.DUMMYFUNCTION("""COMPUTED_VALUE"""),"Top 20")</f>
        <v>Top 20</v>
      </c>
      <c r="B18" s="60" t="str">
        <f ca="1">IFERROR(__xludf.DUMMYFUNCTION("""COMPUTED_VALUE"""),"ITP")</f>
        <v>ITP</v>
      </c>
      <c r="C18" s="60" t="str">
        <f ca="1">IFERROR(__xludf.DUMMYFUNCTION("""COMPUTED_VALUE"""),"International Conference on Interactive Theorem Proving")</f>
        <v>International Conference on Interactive Theorem Proving</v>
      </c>
      <c r="D18" s="60">
        <f ca="1">IFERROR(__xludf.DUMMYFUNCTION("""COMPUTED_VALUE"""),19)</f>
        <v>19</v>
      </c>
      <c r="E18" s="60" t="str">
        <f ca="1">IFERROR(__xludf.DUMMYFUNCTION("""COMPUTED_VALUE"""),"https://scholar.google.com.br/citations?hl=en&amp;view_op=list_hcore&amp;venue=dC3V1ZRAEU4J.2019")</f>
        <v>https://scholar.google.com.br/citations?hl=en&amp;view_op=list_hcore&amp;venue=dC3V1ZRAEU4J.2019</v>
      </c>
    </row>
    <row r="19" spans="1:5" ht="25.5" customHeight="1">
      <c r="A19" s="70" t="str">
        <f ca="1">IFERROR(__xludf.DUMMYFUNCTION("""COMPUTED_VALUE"""),"Top 20")</f>
        <v>Top 20</v>
      </c>
      <c r="B19" s="60" t="str">
        <f ca="1">IFERROR(__xludf.DUMMYFUNCTION("""COMPUTED_VALUE"""),"TASE")</f>
        <v>TASE</v>
      </c>
      <c r="C19" s="60" t="str">
        <f ca="1">IFERROR(__xludf.DUMMYFUNCTION("""COMPUTED_VALUE"""),"Theoretical Aspects of Software Engineering")</f>
        <v>Theoretical Aspects of Software Engineering</v>
      </c>
      <c r="D19" s="60">
        <f ca="1">IFERROR(__xludf.DUMMYFUNCTION("""COMPUTED_VALUE"""),9)</f>
        <v>9</v>
      </c>
      <c r="E19" s="60" t="str">
        <f ca="1">IFERROR(__xludf.DUMMYFUNCTION("""COMPUTED_VALUE"""),"https://scholar.google.com.br/citations?hl=en&amp;view_op=list_hcore&amp;venue=WZLpmXhRGDcJ.2019")</f>
        <v>https://scholar.google.com.br/citations?hl=en&amp;view_op=list_hcore&amp;venue=WZLpmXhRGDcJ.2019</v>
      </c>
    </row>
    <row r="20" spans="1:5" ht="25.5" customHeight="1">
      <c r="A20" s="70" t="str">
        <f ca="1">IFERROR(__xludf.DUMMYFUNCTION("""COMPUTED_VALUE"""),"Top 20")</f>
        <v>Top 20</v>
      </c>
      <c r="B20" s="60" t="str">
        <f ca="1">IFERROR(__xludf.DUMMYFUNCTION("""COMPUTED_VALUE"""),"ICGT")</f>
        <v>ICGT</v>
      </c>
      <c r="C20" s="60" t="str">
        <f ca="1">IFERROR(__xludf.DUMMYFUNCTION("""COMPUTED_VALUE"""),"International Conference on Graph Transformations")</f>
        <v>International Conference on Graph Transformations</v>
      </c>
      <c r="D20" s="60"/>
      <c r="E20" s="60"/>
    </row>
    <row r="21" spans="1:5" ht="25.5" customHeight="1">
      <c r="A21" s="70" t="str">
        <f ca="1">IFERROR(__xludf.DUMMYFUNCTION("""COMPUTED_VALUE"""),"Top 20")</f>
        <v>Top 20</v>
      </c>
      <c r="B21" s="46"/>
      <c r="C21" s="46"/>
      <c r="D21" s="46"/>
      <c r="E21" s="60"/>
    </row>
  </sheetData>
  <hyperlinks>
    <hyperlink ref="E2" r:id="rId1" display="https://scholar.google.com.br/citations?hl=en&amp;view_op=list_hcore&amp;venue=mvAUTVUvOS0J.2019"/>
    <hyperlink ref="E3" r:id="rId2" display="https://scholar.google.com.br/citations?hl=en&amp;view_op=list_hcore&amp;venue=_zC9HnSttFIJ.2019"/>
    <hyperlink ref="E4" r:id="rId3" display="https://scholar.google.com.br/citations?hl=en&amp;view_op=list_hcore&amp;venue=KaKG4ZSdHz4J.2019"/>
    <hyperlink ref="E5" r:id="rId4" display="https://scholar.google.com.br/citations?hl=en&amp;view_op=list_hcore&amp;venue=s5Z0Q8BPlvwJ.2019"/>
    <hyperlink ref="E6" r:id="rId5" display="https://scholar.google.com.br/citations?hl=en&amp;view_op=list_hcore&amp;venue=8ADvAx1bYPYJ.2019"/>
    <hyperlink ref="E7" r:id="rId6" display="https://scholar.google.com.br/citations?hl=en&amp;view_op=list_hcore&amp;venue=LIYEKQ4Mf5YJ.2019"/>
    <hyperlink ref="E8" r:id="rId7" display="https://scholar.google.com.br/citations?hl=en&amp;view_op=list_hcore&amp;venue=Gzge6qp3seEJ.2019"/>
    <hyperlink ref="E9" r:id="rId8" display="https://scholar.google.com.br/citations?hl=en&amp;view_op=list_hcore&amp;venue=Nw9VzNrATcAJ.2019"/>
    <hyperlink ref="E10" r:id="rId9" display="https://scholar.google.com.br/citations?hl=en&amp;view_op=list_hcore&amp;venue=qgBvh59sjMQJ.2019"/>
    <hyperlink ref="E12" r:id="rId10" display="https://scholar.google.com.br/citations?hl=en&amp;view_op=list_hcore&amp;venue=wkpUPIDgNa4J.2019"/>
    <hyperlink ref="E13" r:id="rId11" display="https://scholar.google.com.br/citations?hl=en&amp;view_op=list_hcore&amp;venue=foujqxJmEBEJ.2019"/>
    <hyperlink ref="E14" r:id="rId12" display="https://scholar.google.com.br/citations?hl=en&amp;view_op=list_hcore&amp;venue=uulzuBwI1mAJ.2019"/>
    <hyperlink ref="E15" r:id="rId13" display="https://scholar.google.com.br/citations?hl=en&amp;view_op=list_hcore&amp;venue=P_bGcOzNXgIJ.2019"/>
    <hyperlink ref="E16" r:id="rId14" display="https://scholar.google.com.br/citations?hl=en&amp;view_op=list_hcore&amp;venue=1wsH4YLiPpcJ.2019"/>
    <hyperlink ref="E17" r:id="rId15" display="https://scholar.google.com.br/citations?hl=en&amp;view_op=list_hcore&amp;venue=wOH94ungceEJ.2019"/>
    <hyperlink ref="E18" r:id="rId16" display="https://scholar.google.com.br/citations?hl=en&amp;view_op=list_hcore&amp;venue=dC3V1ZRAEU4J.2019"/>
    <hyperlink ref="E19" r:id="rId17" display="https://scholar.google.com.br/citations?hl=en&amp;view_op=list_hcore&amp;venue=WZLpmXhRGDcJ.2019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8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style="65" bestFit="1" customWidth="1"/>
    <col min="2" max="2" width="18.28515625" style="65" bestFit="1" customWidth="1"/>
    <col min="3" max="3" width="77.140625" style="65" bestFit="1" customWidth="1"/>
    <col min="4" max="4" width="4.140625" style="65" bestFit="1" customWidth="1"/>
    <col min="5" max="5" width="91.85546875" style="66" bestFit="1" customWidth="1"/>
    <col min="6" max="16384" width="12.5703125" style="65"/>
  </cols>
  <sheetData>
    <row r="1" spans="1:24" ht="25.5" customHeight="1">
      <c r="A1" s="71" t="str">
        <f ca="1">IFERROR(__xludf.DUMMYFUNCTION("importrange(""https://docs.google.com/spreadsheets/d/1_YE6qN2262ozAIE7vB2Jd3c3Em0t2pCZWIeECQTF1bc/edit#gid=1824529408"",""CE-ACO!A1:J150"")"),"TOP")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4" ht="25.5" customHeight="1">
      <c r="A2" s="67" t="str">
        <f ca="1">IFERROR(__xludf.DUMMYFUNCTION("""COMPUTED_VALUE"""),"Top 10")</f>
        <v>Top 10</v>
      </c>
      <c r="B2" s="46" t="str">
        <f ca="1">IFERROR(__xludf.DUMMYFUNCTION("""COMPUTED_VALUE"""),"STOC")</f>
        <v>STOC</v>
      </c>
      <c r="C2" s="46" t="str">
        <f ca="1">IFERROR(__xludf.DUMMYFUNCTION("""COMPUTED_VALUE"""),"Annual ACM Symposium on Theory of Computing")</f>
        <v>Annual ACM Symposium on Theory of Computing</v>
      </c>
      <c r="D2" s="46">
        <f ca="1">IFERROR(__xludf.DUMMYFUNCTION("""COMPUTED_VALUE"""),60)</f>
        <v>60</v>
      </c>
      <c r="E2" s="60" t="str">
        <f ca="1">IFERROR(__xludf.DUMMYFUNCTION("""COMPUTED_VALUE"""),"https://scholar.google.com/citations?hl=en&amp;view_op=list_hcore&amp;venue=egNNr3AJ0DUJ.2018")</f>
        <v>https://scholar.google.com/citations?hl=en&amp;view_op=list_hcore&amp;venue=egNNr3AJ0DUJ.2018</v>
      </c>
    </row>
    <row r="3" spans="1:24" ht="25.5" customHeight="1">
      <c r="A3" s="67" t="str">
        <f ca="1">IFERROR(__xludf.DUMMYFUNCTION("""COMPUTED_VALUE"""),"Top 10")</f>
        <v>Top 10</v>
      </c>
      <c r="B3" s="46" t="str">
        <f ca="1">IFERROR(__xludf.DUMMYFUNCTION("""COMPUTED_VALUE"""),"FOCS")</f>
        <v>FOCS</v>
      </c>
      <c r="C3" s="46" t="str">
        <f ca="1">IFERROR(__xludf.DUMMYFUNCTION("""COMPUTED_VALUE"""),"IEEE Annual Symposium on Foundations of Computer Science")</f>
        <v>IEEE Annual Symposium on Foundations of Computer Science</v>
      </c>
      <c r="D3" s="46">
        <f ca="1">IFERROR(__xludf.DUMMYFUNCTION("""COMPUTED_VALUE"""),47)</f>
        <v>47</v>
      </c>
      <c r="E3" s="60" t="str">
        <f ca="1">IFERROR(__xludf.DUMMYFUNCTION("""COMPUTED_VALUE"""),"https://scholar.google.com/citations?hl=en&amp;view_op=list_hcore&amp;venue=NejxsCd_fcQJ.2018")</f>
        <v>https://scholar.google.com/citations?hl=en&amp;view_op=list_hcore&amp;venue=NejxsCd_fcQJ.2018</v>
      </c>
    </row>
    <row r="4" spans="1:24" ht="25.5" customHeight="1">
      <c r="A4" s="67" t="str">
        <f ca="1">IFERROR(__xludf.DUMMYFUNCTION("""COMPUTED_VALUE"""),"Top 10")</f>
        <v>Top 10</v>
      </c>
      <c r="B4" s="46" t="str">
        <f ca="1">IFERROR(__xludf.DUMMYFUNCTION("""COMPUTED_VALUE"""),"SODA")</f>
        <v>SODA</v>
      </c>
      <c r="C4" s="46" t="str">
        <f ca="1">IFERROR(__xludf.DUMMYFUNCTION("""COMPUTED_VALUE"""),"Annual ACM-SIAM Symposium on Discrete Algorithms")</f>
        <v>Annual ACM-SIAM Symposium on Discrete Algorithms</v>
      </c>
      <c r="D4" s="46">
        <f ca="1">IFERROR(__xludf.DUMMYFUNCTION("""COMPUTED_VALUE"""),45)</f>
        <v>45</v>
      </c>
      <c r="E4" s="60" t="str">
        <f ca="1">IFERROR(__xludf.DUMMYFUNCTION("""COMPUTED_VALUE"""),"https://scholar.google.com/citations?hl=en&amp;view_op=list_hcore&amp;venue=9lG2cY79sEoJ.2018")</f>
        <v>https://scholar.google.com/citations?hl=en&amp;view_op=list_hcore&amp;venue=9lG2cY79sEoJ.2018</v>
      </c>
    </row>
    <row r="5" spans="1:24" ht="25.5" customHeight="1">
      <c r="A5" s="67" t="str">
        <f ca="1">IFERROR(__xludf.DUMMYFUNCTION("""COMPUTED_VALUE"""),"Top 10")</f>
        <v>Top 10</v>
      </c>
      <c r="B5" s="46" t="str">
        <f ca="1">IFERROR(__xludf.DUMMYFUNCTION("""COMPUTED_VALUE"""),"ICALP")</f>
        <v>ICALP</v>
      </c>
      <c r="C5" s="46" t="str">
        <f ca="1">IFERROR(__xludf.DUMMYFUNCTION("""COMPUTED_VALUE"""),"International Colloquium on Automata, Languages, and Programming")</f>
        <v>International Colloquium on Automata, Languages, and Programming</v>
      </c>
      <c r="D5" s="46">
        <f ca="1">IFERROR(__xludf.DUMMYFUNCTION("""COMPUTED_VALUE"""),31)</f>
        <v>31</v>
      </c>
      <c r="E5" s="60" t="str">
        <f ca="1">IFERROR(__xludf.DUMMYFUNCTION("""COMPUTED_VALUE"""),"https://scholar.google.com/citations?hl=en&amp;view_op=list_hcore&amp;venue=-jyI22RzDikJ.2018")</f>
        <v>https://scholar.google.com/citations?hl=en&amp;view_op=list_hcore&amp;venue=-jyI22RzDikJ.2018</v>
      </c>
    </row>
    <row r="6" spans="1:24" ht="25.5" customHeight="1">
      <c r="A6" s="67" t="str">
        <f ca="1">IFERROR(__xludf.DUMMYFUNCTION("""COMPUTED_VALUE"""),"Top 10")</f>
        <v>Top 10</v>
      </c>
      <c r="B6" s="46" t="str">
        <f ca="1">IFERROR(__xludf.DUMMYFUNCTION("""COMPUTED_VALUE"""),"ESA")</f>
        <v>ESA</v>
      </c>
      <c r="C6" s="46" t="str">
        <f ca="1">IFERROR(__xludf.DUMMYFUNCTION("""COMPUTED_VALUE"""),"European Symposium on Algorithms")</f>
        <v>European Symposium on Algorithms</v>
      </c>
      <c r="D6" s="46">
        <f ca="1">IFERROR(__xludf.DUMMYFUNCTION("""COMPUTED_VALUE"""),23)</f>
        <v>23</v>
      </c>
      <c r="E6" s="60" t="str">
        <f ca="1">IFERROR(__xludf.DUMMYFUNCTION("""COMPUTED_VALUE"""),"https://scholar.google.com/citations?hl=en&amp;view_op=list_hcore&amp;venue=sNtxnFuOq5YJ.2018")</f>
        <v>https://scholar.google.com/citations?hl=en&amp;view_op=list_hcore&amp;venue=sNtxnFuOq5YJ.2018</v>
      </c>
    </row>
    <row r="7" spans="1:24" ht="25.5" customHeight="1">
      <c r="A7" s="67" t="str">
        <f ca="1">IFERROR(__xludf.DUMMYFUNCTION("""COMPUTED_VALUE"""),"Top 10")</f>
        <v>Top 10</v>
      </c>
      <c r="B7" s="46" t="str">
        <f ca="1">IFERROR(__xludf.DUMMYFUNCTION("""COMPUTED_VALUE"""),"STACS")</f>
        <v>STACS</v>
      </c>
      <c r="C7" s="46" t="str">
        <f ca="1">IFERROR(__xludf.DUMMYFUNCTION("""COMPUTED_VALUE"""),"Symposium on Theoretical Aspects of Computer Science")</f>
        <v>Symposium on Theoretical Aspects of Computer Science</v>
      </c>
      <c r="D7" s="46">
        <f ca="1">IFERROR(__xludf.DUMMYFUNCTION("""COMPUTED_VALUE"""),23)</f>
        <v>23</v>
      </c>
      <c r="E7" s="60" t="str">
        <f ca="1">IFERROR(__xludf.DUMMYFUNCTION("""COMPUTED_VALUE"""),"https://scholar.google.com/citations?hl=en&amp;view_op=list_hcore&amp;venue=BmGC50v8VqkJ.2018")</f>
        <v>https://scholar.google.com/citations?hl=en&amp;view_op=list_hcore&amp;venue=BmGC50v8VqkJ.2018</v>
      </c>
    </row>
    <row r="8" spans="1:24" ht="25.5" customHeight="1">
      <c r="A8" s="67" t="str">
        <f ca="1">IFERROR(__xludf.DUMMYFUNCTION("""COMPUTED_VALUE"""),"Top 10")</f>
        <v>Top 10</v>
      </c>
      <c r="B8" s="46" t="str">
        <f ca="1">IFERROR(__xludf.DUMMYFUNCTION("""COMPUTED_VALUE"""),"IPCO")</f>
        <v>IPCO</v>
      </c>
      <c r="C8" s="46" t="str">
        <f ca="1">IFERROR(__xludf.DUMMYFUNCTION("""COMPUTED_VALUE"""),"Conference on Integer Programming and Combinatorial Optimization")</f>
        <v>Conference on Integer Programming and Combinatorial Optimization</v>
      </c>
      <c r="D8" s="46">
        <f ca="1">IFERROR(__xludf.DUMMYFUNCTION("""COMPUTED_VALUE"""),15)</f>
        <v>15</v>
      </c>
      <c r="E8" s="60" t="str">
        <f ca="1">IFERROR(__xludf.DUMMYFUNCTION("""COMPUTED_VALUE"""),"https://scholar.google.com/citations?hl=en&amp;view_op=list_hcore&amp;venue=H_xY24v1wX8J.2018")</f>
        <v>https://scholar.google.com/citations?hl=en&amp;view_op=list_hcore&amp;venue=H_xY24v1wX8J.2018</v>
      </c>
    </row>
    <row r="9" spans="1:24" ht="25.5" customHeight="1">
      <c r="A9" s="67" t="str">
        <f ca="1">IFERROR(__xludf.DUMMYFUNCTION("""COMPUTED_VALUE"""),"Top 10")</f>
        <v>Top 10</v>
      </c>
      <c r="B9" s="46" t="str">
        <f ca="1">IFERROR(__xludf.DUMMYFUNCTION("""COMPUTED_VALUE"""),"WG")</f>
        <v>WG</v>
      </c>
      <c r="C9" s="46" t="str">
        <f ca="1">IFERROR(__xludf.DUMMYFUNCTION("""COMPUTED_VALUE"""),"International Workshop on Graph-Theoretic Concepts in Computer Science")</f>
        <v>International Workshop on Graph-Theoretic Concepts in Computer Science</v>
      </c>
      <c r="D9" s="46">
        <f ca="1">IFERROR(__xludf.DUMMYFUNCTION("""COMPUTED_VALUE"""),13)</f>
        <v>13</v>
      </c>
      <c r="E9" s="60" t="str">
        <f ca="1">IFERROR(__xludf.DUMMYFUNCTION("""COMPUTED_VALUE"""),"https://scholar.google.com/citations?hl=en&amp;view_op=list_hcore&amp;venue=bEdEBGLFMMoJ.2018")</f>
        <v>https://scholar.google.com/citations?hl=en&amp;view_op=list_hcore&amp;venue=bEdEBGLFMMoJ.2018</v>
      </c>
    </row>
    <row r="10" spans="1:24" ht="25.5" customHeight="1">
      <c r="A10" s="67" t="str">
        <f ca="1">IFERROR(__xludf.DUMMYFUNCTION("""COMPUTED_VALUE"""),"Top 10")</f>
        <v>Top 10</v>
      </c>
      <c r="B10" s="46" t="str">
        <f ca="1">IFERROR(__xludf.DUMMYFUNCTION("""COMPUTED_VALUE"""),"EUROCOMB")</f>
        <v>EUROCOMB</v>
      </c>
      <c r="C10" s="46" t="str">
        <f ca="1">IFERROR(__xludf.DUMMYFUNCTION("""COMPUTED_VALUE"""),"European Conference on Combinatorics, Graph Theory and Applications")</f>
        <v>European Conference on Combinatorics, Graph Theory and Applications</v>
      </c>
      <c r="D10" s="46">
        <f ca="1">IFERROR(__xludf.DUMMYFUNCTION("""COMPUTED_VALUE"""),12)</f>
        <v>12</v>
      </c>
      <c r="E10" s="60" t="str">
        <f ca="1">IFERROR(__xludf.DUMMYFUNCTION("""COMPUTED_VALUE"""),"https://scholar.google.com/citations?hl=en&amp;view_op=list_hcore&amp;venue=wn0aYglh-KMJ.2018")</f>
        <v>https://scholar.google.com/citations?hl=en&amp;view_op=list_hcore&amp;venue=wn0aYglh-KMJ.2018</v>
      </c>
    </row>
    <row r="11" spans="1:24" ht="25.5" customHeight="1">
      <c r="A11" s="67" t="str">
        <f ca="1">IFERROR(__xludf.DUMMYFUNCTION("""COMPUTED_VALUE"""),"Top 10")</f>
        <v>Top 10</v>
      </c>
      <c r="B11" s="46" t="str">
        <f ca="1">IFERROR(__xludf.DUMMYFUNCTION("""COMPUTED_VALUE"""),"LATIN")</f>
        <v>LATIN</v>
      </c>
      <c r="C11" s="46" t="str">
        <f ca="1">IFERROR(__xludf.DUMMYFUNCTION("""COMPUTED_VALUE"""),"Latin American Theoretical Informatics")</f>
        <v>Latin American Theoretical Informatics</v>
      </c>
      <c r="D11" s="46">
        <f ca="1">IFERROR(__xludf.DUMMYFUNCTION("""COMPUTED_VALUE"""),11)</f>
        <v>11</v>
      </c>
      <c r="E11" s="60" t="str">
        <f ca="1">IFERROR(__xludf.DUMMYFUNCTION("""COMPUTED_VALUE"""),"https://scholar.google.com/citations?hl=en&amp;view_op=list_hcore&amp;venue=OeICmY9lwg4J.2018")</f>
        <v>https://scholar.google.com/citations?hl=en&amp;view_op=list_hcore&amp;venue=OeICmY9lwg4J.2018</v>
      </c>
    </row>
    <row r="12" spans="1:24" ht="25.5" customHeight="1">
      <c r="A12" s="70" t="str">
        <f ca="1">IFERROR(__xludf.DUMMYFUNCTION("""COMPUTED_VALUE"""),"Top 20")</f>
        <v>Top 20</v>
      </c>
      <c r="B12" s="46" t="str">
        <f ca="1">IFERROR(__xludf.DUMMYFUNCTION("""COMPUTED_VALUE"""),"MFCS")</f>
        <v>MFCS</v>
      </c>
      <c r="C12" s="46" t="str">
        <f ca="1">IFERROR(__xludf.DUMMYFUNCTION("""COMPUTED_VALUE"""),"International Symposium on Mathematical Foundations of Computer Science")</f>
        <v>International Symposium on Mathematical Foundations of Computer Science</v>
      </c>
      <c r="D12" s="46">
        <f ca="1">IFERROR(__xludf.DUMMYFUNCTION("""COMPUTED_VALUE"""),17)</f>
        <v>17</v>
      </c>
      <c r="E12" s="60" t="str">
        <f ca="1">IFERROR(__xludf.DUMMYFUNCTION("""COMPUTED_VALUE"""),"https://scholar.google.com/citations?hl=en&amp;view_op=list_hcore&amp;venue=b7Wt8oz6uqAJ.2018")</f>
        <v>https://scholar.google.com/citations?hl=en&amp;view_op=list_hcore&amp;venue=b7Wt8oz6uqAJ.2018</v>
      </c>
    </row>
    <row r="13" spans="1:24" ht="25.5" customHeight="1">
      <c r="A13" s="70" t="str">
        <f ca="1">IFERROR(__xludf.DUMMYFUNCTION("""COMPUTED_VALUE"""),"Top 20")</f>
        <v>Top 20</v>
      </c>
      <c r="B13" s="46" t="str">
        <f ca="1">IFERROR(__xludf.DUMMYFUNCTION("""COMPUTED_VALUE"""),"CP")</f>
        <v>CP</v>
      </c>
      <c r="C13" s="46" t="str">
        <f ca="1">IFERROR(__xludf.DUMMYFUNCTION("""COMPUTED_VALUE"""),"International Conference on Principles and Practice of Constraint Programming")</f>
        <v>International Conference on Principles and Practice of Constraint Programming</v>
      </c>
      <c r="D13" s="46">
        <f ca="1">IFERROR(__xludf.DUMMYFUNCTION("""COMPUTED_VALUE"""),22)</f>
        <v>22</v>
      </c>
      <c r="E13" s="60" t="str">
        <f ca="1">IFERROR(__xludf.DUMMYFUNCTION("""COMPUTED_VALUE"""),"https://scholar.google.com/citations?hl=en&amp;view_op=list_hcore&amp;venue=9932mATgN9kJ.2018")</f>
        <v>https://scholar.google.com/citations?hl=en&amp;view_op=list_hcore&amp;venue=9932mATgN9kJ.2018</v>
      </c>
    </row>
    <row r="14" spans="1:24" ht="25.5" customHeight="1">
      <c r="A14" s="70" t="str">
        <f ca="1">IFERROR(__xludf.DUMMYFUNCTION("""COMPUTED_VALUE"""),"Top 20")</f>
        <v>Top 20</v>
      </c>
      <c r="B14" s="46" t="str">
        <f ca="1">IFERROR(__xludf.DUMMYFUNCTION("""COMPUTED_VALUE"""),"APPROX-RANDOM")</f>
        <v>APPROX-RANDOM</v>
      </c>
      <c r="C14" s="46" t="str">
        <f ca="1">IFERROR(__xludf.DUMMYFUNCTION("""COMPUTED_VALUE"""),"APPROX-RANDOM")</f>
        <v>APPROX-RANDOM</v>
      </c>
      <c r="D14" s="46">
        <f ca="1">IFERROR(__xludf.DUMMYFUNCTION("""COMPUTED_VALUE"""),18)</f>
        <v>18</v>
      </c>
      <c r="E14" s="60" t="str">
        <f ca="1">IFERROR(__xludf.DUMMYFUNCTION("""COMPUTED_VALUE"""),"https://scholar.google.com/citations?hl=en&amp;view_op=list_hcore&amp;venue=M9oM2PGejDoJ.2019")</f>
        <v>https://scholar.google.com/citations?hl=en&amp;view_op=list_hcore&amp;venue=M9oM2PGejDoJ.2019</v>
      </c>
    </row>
    <row r="15" spans="1:24" ht="25.5" customHeight="1">
      <c r="A15" s="70" t="str">
        <f ca="1">IFERROR(__xludf.DUMMYFUNCTION("""COMPUTED_VALUE"""),"Top 20")</f>
        <v>Top 20</v>
      </c>
      <c r="B15" s="46" t="str">
        <f ca="1">IFERROR(__xludf.DUMMYFUNCTION("""COMPUTED_VALUE"""),"SEA")</f>
        <v>SEA</v>
      </c>
      <c r="C15" s="46" t="str">
        <f ca="1">IFERROR(__xludf.DUMMYFUNCTION("""COMPUTED_VALUE"""),"International Symposium on Experimental Algorithms")</f>
        <v>International Symposium on Experimental Algorithms</v>
      </c>
      <c r="D15" s="46">
        <f ca="1">IFERROR(__xludf.DUMMYFUNCTION("""COMPUTED_VALUE"""),19)</f>
        <v>19</v>
      </c>
      <c r="E15" s="46" t="str">
        <f ca="1">IFERROR(__xludf.DUMMYFUNCTION("""COMPUTED_VALUE"""),"https://scholar.google.com/citations?hl=en&amp;view_op=list_hcore&amp;venue=5mM2zjnIDtwJ.2019")</f>
        <v>https://scholar.google.com/citations?hl=en&amp;view_op=list_hcore&amp;venue=5mM2zjnIDtwJ.2019</v>
      </c>
    </row>
    <row r="16" spans="1:24" ht="25.5" customHeight="1">
      <c r="A16" s="70" t="str">
        <f ca="1">IFERROR(__xludf.DUMMYFUNCTION("""COMPUTED_VALUE"""),"Top 20")</f>
        <v>Top 20</v>
      </c>
      <c r="B16" s="46" t="str">
        <f ca="1">IFERROR(__xludf.DUMMYFUNCTION("""COMPUTED_VALUE"""),"ITCS")</f>
        <v>ITCS</v>
      </c>
      <c r="C16" s="46" t="str">
        <f ca="1">IFERROR(__xludf.DUMMYFUNCTION("""COMPUTED_VALUE"""),"Conference on Innovations in Theoretical Computer Science")</f>
        <v>Conference on Innovations in Theoretical Computer Science</v>
      </c>
      <c r="D16" s="46">
        <f ca="1">IFERROR(__xludf.DUMMYFUNCTION("""COMPUTED_VALUE"""),30)</f>
        <v>30</v>
      </c>
      <c r="E16" s="46" t="str">
        <f ca="1">IFERROR(__xludf.DUMMYFUNCTION("""COMPUTED_VALUE"""),"https://scholar.google.com/citations?hl=en&amp;view_op=list_hcore&amp;venue=YFgbcWcmuG4J.2019")</f>
        <v>https://scholar.google.com/citations?hl=en&amp;view_op=list_hcore&amp;venue=YFgbcWcmuG4J.2019</v>
      </c>
    </row>
    <row r="17" spans="1:5" ht="25.5" customHeight="1">
      <c r="A17" s="70" t="str">
        <f ca="1">IFERROR(__xludf.DUMMYFUNCTION("""COMPUTED_VALUE"""),"Top 20")</f>
        <v>Top 20</v>
      </c>
      <c r="B17" s="46" t="str">
        <f ca="1">IFERROR(__xludf.DUMMYFUNCTION("""COMPUTED_VALUE"""),"SoCG")</f>
        <v>SoCG</v>
      </c>
      <c r="C17" s="46" t="str">
        <f ca="1">IFERROR(__xludf.DUMMYFUNCTION("""COMPUTED_VALUE"""),"Symposium on Computational Geometry")</f>
        <v>Symposium on Computational Geometry</v>
      </c>
      <c r="D17" s="46">
        <f ca="1">IFERROR(__xludf.DUMMYFUNCTION("""COMPUTED_VALUE"""),22)</f>
        <v>22</v>
      </c>
      <c r="E17" s="60" t="str">
        <f ca="1">IFERROR(__xludf.DUMMYFUNCTION("""COMPUTED_VALUE"""),"https://scholar.google.com/citations?hl=en&amp;view_op=list_hcore&amp;venue=MGCukPJHrn0J.2019")</f>
        <v>https://scholar.google.com/citations?hl=en&amp;view_op=list_hcore&amp;venue=MGCukPJHrn0J.2019</v>
      </c>
    </row>
    <row r="18" spans="1:5" ht="25.5" customHeight="1">
      <c r="A18" s="70" t="str">
        <f ca="1">IFERROR(__xludf.DUMMYFUNCTION("""COMPUTED_VALUE"""),"Top 20")</f>
        <v>Top 20</v>
      </c>
      <c r="B18" s="46" t="str">
        <f ca="1">IFERROR(__xludf.DUMMYFUNCTION("""COMPUTED_VALUE"""),"CCC")</f>
        <v>CCC</v>
      </c>
      <c r="C18" s="46" t="str">
        <f ca="1">IFERROR(__xludf.DUMMYFUNCTION("""COMPUTED_VALUE"""),"IEEE Conference on Computational Complexity")</f>
        <v>IEEE Conference on Computational Complexity</v>
      </c>
      <c r="D18" s="46">
        <f ca="1">IFERROR(__xludf.DUMMYFUNCTION("""COMPUTED_VALUE"""),21)</f>
        <v>21</v>
      </c>
      <c r="E18" s="60" t="str">
        <f ca="1">IFERROR(__xludf.DUMMYFUNCTION("""COMPUTED_VALUE"""),"https://scholar.google.com/citations?hl=en&amp;view_op=list_hcore&amp;venue=VHvULLS5ORIJ.2019")</f>
        <v>https://scholar.google.com/citations?hl=en&amp;view_op=list_hcore&amp;venue=VHvULLS5ORIJ.2019</v>
      </c>
    </row>
    <row r="19" spans="1:5" ht="25.5" customHeight="1">
      <c r="A19" s="70" t="str">
        <f ca="1">IFERROR(__xludf.DUMMYFUNCTION("""COMPUTED_VALUE"""),"Top 20")</f>
        <v>Top 20</v>
      </c>
      <c r="B19" s="46" t="str">
        <f ca="1">IFERROR(__xludf.DUMMYFUNCTION("""COMPUTED_VALUE"""),"ISAAC")</f>
        <v>ISAAC</v>
      </c>
      <c r="C19" s="46" t="str">
        <f ca="1">IFERROR(__xludf.DUMMYFUNCTION("""COMPUTED_VALUE"""),"International Symposium on Algorithms and Computation")</f>
        <v>International Symposium on Algorithms and Computation</v>
      </c>
      <c r="D19" s="46">
        <f ca="1">IFERROR(__xludf.DUMMYFUNCTION("""COMPUTED_VALUE"""),16)</f>
        <v>16</v>
      </c>
      <c r="E19" s="60" t="str">
        <f ca="1">IFERROR(__xludf.DUMMYFUNCTION("""COMPUTED_VALUE"""),"https://scholar.google.com/citations?hl=en&amp;view_op=list_hcore&amp;venue=REeNFlEptmgJ.2018")</f>
        <v>https://scholar.google.com/citations?hl=en&amp;view_op=list_hcore&amp;venue=REeNFlEptmgJ.2018</v>
      </c>
    </row>
    <row r="20" spans="1:5" ht="25.5" customHeight="1">
      <c r="A20" s="70" t="str">
        <f ca="1">IFERROR(__xludf.DUMMYFUNCTION("""COMPUTED_VALUE"""),"Top 20")</f>
        <v>Top 20</v>
      </c>
      <c r="B20" s="46" t="str">
        <f ca="1">IFERROR(__xludf.DUMMYFUNCTION("""COMPUTED_VALUE"""),"COCOON")</f>
        <v>COCOON</v>
      </c>
      <c r="C20" s="46" t="str">
        <f ca="1">IFERROR(__xludf.DUMMYFUNCTION("""COMPUTED_VALUE"""),"International Computing and Combinatorics Conference")</f>
        <v>International Computing and Combinatorics Conference</v>
      </c>
      <c r="D20" s="46">
        <f ca="1">IFERROR(__xludf.DUMMYFUNCTION("""COMPUTED_VALUE"""),12)</f>
        <v>12</v>
      </c>
      <c r="E20" s="60" t="str">
        <f ca="1">IFERROR(__xludf.DUMMYFUNCTION("""COMPUTED_VALUE"""),"https://scholar.google.com/citations?hl=en&amp;view_op=list_hcore&amp;venue=nuQnbkFkrG0J.2019")</f>
        <v>https://scholar.google.com/citations?hl=en&amp;view_op=list_hcore&amp;venue=nuQnbkFkrG0J.2019</v>
      </c>
    </row>
    <row r="21" spans="1:5" ht="25.5" customHeight="1">
      <c r="A21" s="70" t="str">
        <f ca="1">IFERROR(__xludf.DUMMYFUNCTION("""COMPUTED_VALUE"""),"Top 20")</f>
        <v>Top 20</v>
      </c>
      <c r="B21" s="46" t="str">
        <f ca="1">IFERROR(__xludf.DUMMYFUNCTION("""COMPUTED_VALUE"""),"IPEC")</f>
        <v>IPEC</v>
      </c>
      <c r="C21" s="46" t="str">
        <f ca="1">IFERROR(__xludf.DUMMYFUNCTION("""COMPUTED_VALUE"""),"International Symposium on Parameterized and Exact Computation")</f>
        <v>International Symposium on Parameterized and Exact Computation</v>
      </c>
      <c r="D21" s="46">
        <f ca="1">IFERROR(__xludf.DUMMYFUNCTION("""COMPUTED_VALUE"""),13)</f>
        <v>13</v>
      </c>
      <c r="E21" s="60" t="str">
        <f ca="1">IFERROR(__xludf.DUMMYFUNCTION("""COMPUTED_VALUE"""),"https://scholar.google.com/citations?hl=en&amp;view_op=list_hcore&amp;venue=omO5C9pkf-8J.2020")</f>
        <v>https://scholar.google.com/citations?hl=en&amp;view_op=list_hcore&amp;venue=omO5C9pkf-8J.2020</v>
      </c>
    </row>
    <row r="22" spans="1:5" ht="25.5" customHeight="1">
      <c r="A22" s="73" t="str">
        <f ca="1">IFERROR(__xludf.DUMMYFUNCTION("""COMPUTED_VALUE"""),"Eventos da Área")</f>
        <v>Eventos da Área</v>
      </c>
      <c r="B22" s="46" t="str">
        <f ca="1">IFERROR(__xludf.DUMMYFUNCTION("""COMPUTED_VALUE"""),"WADS")</f>
        <v>WADS</v>
      </c>
      <c r="C22" s="46" t="str">
        <f ca="1">IFERROR(__xludf.DUMMYFUNCTION("""COMPUTED_VALUE"""),"Algorithms and Data Structures Symposium")</f>
        <v>Algorithms and Data Structures Symposium</v>
      </c>
      <c r="D22" s="46">
        <f ca="1">IFERROR(__xludf.DUMMYFUNCTION("""COMPUTED_VALUE"""),10)</f>
        <v>10</v>
      </c>
      <c r="E22" s="60" t="str">
        <f ca="1">IFERROR(__xludf.DUMMYFUNCTION("""COMPUTED_VALUE"""),"https://scholar.google.com/citations?hl=en&amp;view_op=list_hcore&amp;venue=WuJ205lBDckJ.2019")</f>
        <v>https://scholar.google.com/citations?hl=en&amp;view_op=list_hcore&amp;venue=WuJ205lBDckJ.2019</v>
      </c>
    </row>
    <row r="23" spans="1:5" ht="25.5" customHeight="1">
      <c r="A23" s="73" t="str">
        <f ca="1">IFERROR(__xludf.DUMMYFUNCTION("""COMPUTED_VALUE"""),"Eventos da Área")</f>
        <v>Eventos da Área</v>
      </c>
      <c r="B23" s="46" t="str">
        <f ca="1">IFERROR(__xludf.DUMMYFUNCTION("""COMPUTED_VALUE"""),"ISCO")</f>
        <v>ISCO</v>
      </c>
      <c r="C23" s="46" t="str">
        <f ca="1">IFERROR(__xludf.DUMMYFUNCTION("""COMPUTED_VALUE"""),"International Symposium on Combinatorial Optimization")</f>
        <v>International Symposium on Combinatorial Optimization</v>
      </c>
      <c r="D23" s="46">
        <f ca="1">IFERROR(__xludf.DUMMYFUNCTION("""COMPUTED_VALUE"""),8)</f>
        <v>8</v>
      </c>
      <c r="E23" s="60" t="str">
        <f ca="1">IFERROR(__xludf.DUMMYFUNCTION("""COMPUTED_VALUE"""),"https://scholar.google.com/citations?hl=en&amp;view_op=list_hcore&amp;venue=_nw1GAGIGkEJ.2019")</f>
        <v>https://scholar.google.com/citations?hl=en&amp;view_op=list_hcore&amp;venue=_nw1GAGIGkEJ.2019</v>
      </c>
    </row>
    <row r="24" spans="1:5" ht="25.5" customHeight="1">
      <c r="A24" s="73" t="str">
        <f ca="1">IFERROR(__xludf.DUMMYFUNCTION("""COMPUTED_VALUE"""),"Eventos da Área")</f>
        <v>Eventos da Área</v>
      </c>
      <c r="B24" s="46" t="str">
        <f ca="1">IFERROR(__xludf.DUMMYFUNCTION("""COMPUTED_VALUE"""),"LAGOS")</f>
        <v>LAGOS</v>
      </c>
      <c r="C24" s="46" t="str">
        <f ca="1">IFERROR(__xludf.DUMMYFUNCTION("""COMPUTED_VALUE"""),"Latin-American Algorithms, Graphs and Optimization Symposium")</f>
        <v>Latin-American Algorithms, Graphs and Optimization Symposium</v>
      </c>
      <c r="D24" s="46"/>
      <c r="E24" s="60"/>
    </row>
    <row r="25" spans="1:5" ht="25.5" customHeight="1">
      <c r="A25" s="73" t="str">
        <f ca="1">IFERROR(__xludf.DUMMYFUNCTION("""COMPUTED_VALUE"""),"Eventos da Área")</f>
        <v>Eventos da Área</v>
      </c>
      <c r="B25" s="46" t="str">
        <f ca="1">IFERROR(__xludf.DUMMYFUNCTION("""COMPUTED_VALUE"""),"COCOA")</f>
        <v>COCOA</v>
      </c>
      <c r="C25" s="46" t="str">
        <f ca="1">IFERROR(__xludf.DUMMYFUNCTION("""COMPUTED_VALUE"""),"International Conference on Combinatorial Optimization and Applications")</f>
        <v>International Conference on Combinatorial Optimization and Applications</v>
      </c>
      <c r="D25" s="46">
        <f ca="1">IFERROR(__xludf.DUMMYFUNCTION("""COMPUTED_VALUE"""),10)</f>
        <v>10</v>
      </c>
      <c r="E25" s="60" t="str">
        <f ca="1">IFERROR(__xludf.DUMMYFUNCTION("""COMPUTED_VALUE"""),"https://scholar.google.com/citations?hl=en&amp;view_op=list_hcore&amp;venue=xFmuhcLxNaUJ.2020")</f>
        <v>https://scholar.google.com/citations?hl=en&amp;view_op=list_hcore&amp;venue=xFmuhcLxNaUJ.2020</v>
      </c>
    </row>
    <row r="26" spans="1:5" ht="25.5" customHeight="1">
      <c r="A26" s="73" t="str">
        <f ca="1">IFERROR(__xludf.DUMMYFUNCTION("""COMPUTED_VALUE"""),"Eventos da Área")</f>
        <v>Eventos da Área</v>
      </c>
      <c r="B26" s="46" t="str">
        <f ca="1">IFERROR(__xludf.DUMMYFUNCTION("""COMPUTED_VALUE"""),"FCT")</f>
        <v>FCT</v>
      </c>
      <c r="C26" s="46" t="str">
        <f ca="1">IFERROR(__xludf.DUMMYFUNCTION("""COMPUTED_VALUE"""),"International Symposium on Fundamentals of Computation Theory")</f>
        <v>International Symposium on Fundamentals of Computation Theory</v>
      </c>
      <c r="D26" s="46"/>
      <c r="E26" s="60"/>
    </row>
    <row r="27" spans="1:5" ht="25.5" customHeight="1">
      <c r="A27" s="73" t="str">
        <f ca="1">IFERROR(__xludf.DUMMYFUNCTION("""COMPUTED_VALUE"""),"Eventos da Área")</f>
        <v>Eventos da Área</v>
      </c>
      <c r="B27" s="46" t="str">
        <f ca="1">IFERROR(__xludf.DUMMYFUNCTION("""COMPUTED_VALUE"""),"WALCOM")</f>
        <v>WALCOM</v>
      </c>
      <c r="C27" s="46" t="str">
        <f ca="1">IFERROR(__xludf.DUMMYFUNCTION("""COMPUTED_VALUE"""),"International Workshop on Algorithms and Computation")</f>
        <v>International Workshop on Algorithms and Computation</v>
      </c>
      <c r="D27" s="46">
        <f ca="1">IFERROR(__xludf.DUMMYFUNCTION("""COMPUTED_VALUE"""),10)</f>
        <v>10</v>
      </c>
      <c r="E27" s="60" t="str">
        <f ca="1">IFERROR(__xludf.DUMMYFUNCTION("""COMPUTED_VALUE"""),"https://scholar.google.com/citations?hl=en&amp;view_op=list_hcore&amp;venue=Qm-_RD142XUJ.2020")</f>
        <v>https://scholar.google.com/citations?hl=en&amp;view_op=list_hcore&amp;venue=Qm-_RD142XUJ.2020</v>
      </c>
    </row>
    <row r="28" spans="1:5" ht="25.5" customHeight="1">
      <c r="A28" s="73" t="str">
        <f ca="1">IFERROR(__xludf.DUMMYFUNCTION("""COMPUTED_VALUE"""),"Eventos da Área")</f>
        <v>Eventos da Área</v>
      </c>
      <c r="B28" s="46" t="str">
        <f ca="1">IFERROR(__xludf.DUMMYFUNCTION("""COMPUTED_VALUE"""),"CALDAM")</f>
        <v>CALDAM</v>
      </c>
      <c r="C28" s="46" t="str">
        <f ca="1">IFERROR(__xludf.DUMMYFUNCTION("""COMPUTED_VALUE"""),"International Conference on Algorithms and Discrete Applied Mathematics")</f>
        <v>International Conference on Algorithms and Discrete Applied Mathematics</v>
      </c>
      <c r="D28" s="46">
        <f ca="1">IFERROR(__xludf.DUMMYFUNCTION("""COMPUTED_VALUE"""),8)</f>
        <v>8</v>
      </c>
      <c r="E28" s="60" t="str">
        <f ca="1">IFERROR(__xludf.DUMMYFUNCTION("""COMPUTED_VALUE"""),"https://scholar.google.com/citations?hl=en&amp;view_op=list_hcore&amp;venue=oMZjQ-X5R1EJ.2020")</f>
        <v>https://scholar.google.com/citations?hl=en&amp;view_op=list_hcore&amp;venue=oMZjQ-X5R1EJ.2020</v>
      </c>
    </row>
    <row r="29" spans="1:5" ht="25.5" customHeight="1">
      <c r="A29" s="73" t="str">
        <f ca="1">IFERROR(__xludf.DUMMYFUNCTION("""COMPUTED_VALUE"""),"Eventos da Área")</f>
        <v>Eventos da Área</v>
      </c>
      <c r="B29" s="46" t="str">
        <f ca="1">IFERROR(__xludf.DUMMYFUNCTION("""COMPUTED_VALUE"""),"SWAT")</f>
        <v>SWAT</v>
      </c>
      <c r="C29" s="46" t="str">
        <f ca="1">IFERROR(__xludf.DUMMYFUNCTION("""COMPUTED_VALUE"""),"Scandinavian Symposium and Workshops on Algorithm Theory")</f>
        <v>Scandinavian Symposium and Workshops on Algorithm Theory</v>
      </c>
      <c r="D29" s="46">
        <f ca="1">IFERROR(__xludf.DUMMYFUNCTION("""COMPUTED_VALUE"""),11)</f>
        <v>11</v>
      </c>
      <c r="E29" s="60" t="str">
        <f ca="1">IFERROR(__xludf.DUMMYFUNCTION("""COMPUTED_VALUE"""),"https://scholar.google.com/citations?hl=en&amp;view_op=list_hcore&amp;venue=IyEy51GZdIUJ.2019")</f>
        <v>https://scholar.google.com/citations?hl=en&amp;view_op=list_hcore&amp;venue=IyEy51GZdIUJ.2019</v>
      </c>
    </row>
    <row r="30" spans="1:5" ht="25.5" customHeight="1">
      <c r="A30" s="73" t="str">
        <f ca="1">IFERROR(__xludf.DUMMYFUNCTION("""COMPUTED_VALUE"""),"Eventos da Área")</f>
        <v>Eventos da Área</v>
      </c>
      <c r="B30" s="46" t="str">
        <f ca="1">IFERROR(__xludf.DUMMYFUNCTION("""COMPUTED_VALUE"""),"ALENEX")</f>
        <v>ALENEX</v>
      </c>
      <c r="C30" s="46" t="str">
        <f ca="1">IFERROR(__xludf.DUMMYFUNCTION("""COMPUTED_VALUE"""),"SIAM Symposium on Algorithm Engineering and Experiments")</f>
        <v>SIAM Symposium on Algorithm Engineering and Experiments</v>
      </c>
      <c r="D30" s="46"/>
      <c r="E30" s="60"/>
    </row>
    <row r="31" spans="1:5" ht="25.5" customHeight="1">
      <c r="A31" s="73" t="str">
        <f ca="1">IFERROR(__xludf.DUMMYFUNCTION("""COMPUTED_VALUE"""),"Eventos da Área")</f>
        <v>Eventos da Área</v>
      </c>
      <c r="B31" s="46" t="str">
        <f ca="1">IFERROR(__xludf.DUMMYFUNCTION("""COMPUTED_VALUE"""),"WAOA")</f>
        <v>WAOA</v>
      </c>
      <c r="C31" s="46" t="str">
        <f ca="1">IFERROR(__xludf.DUMMYFUNCTION("""COMPUTED_VALUE"""),"Workshop on Approximation and Online Algorithms")</f>
        <v>Workshop on Approximation and Online Algorithms</v>
      </c>
      <c r="D31" s="46"/>
      <c r="E31" s="60"/>
    </row>
    <row r="32" spans="1:5" ht="25.5" customHeight="1">
      <c r="A32" s="73" t="str">
        <f ca="1">IFERROR(__xludf.DUMMYFUNCTION("""COMPUTED_VALUE"""),"Eventos da Área")</f>
        <v>Eventos da Área</v>
      </c>
      <c r="B32" s="46" t="str">
        <f ca="1">IFERROR(__xludf.DUMMYFUNCTION("""COMPUTED_VALUE"""),"CIAC")</f>
        <v>CIAC</v>
      </c>
      <c r="C32" s="46" t="str">
        <f ca="1">IFERROR(__xludf.DUMMYFUNCTION("""COMPUTED_VALUE"""),"International Conference on Algorithms and Complexity")</f>
        <v>International Conference on Algorithms and Complexity</v>
      </c>
      <c r="D32" s="46">
        <f ca="1">IFERROR(__xludf.DUMMYFUNCTION("""COMPUTED_VALUE"""),11)</f>
        <v>11</v>
      </c>
      <c r="E32" s="60" t="str">
        <f ca="1">IFERROR(__xludf.DUMMYFUNCTION("""COMPUTED_VALUE"""),"https://scholar.google.com/citations?hl=en&amp;view_op=list_hcore&amp;venue=3cSHcC5AA7QJ.2020")</f>
        <v>https://scholar.google.com/citations?hl=en&amp;view_op=list_hcore&amp;venue=3cSHcC5AA7QJ.2020</v>
      </c>
    </row>
    <row r="33" spans="1:5" ht="25.5" customHeight="1">
      <c r="A33" s="73" t="str">
        <f ca="1">IFERROR(__xludf.DUMMYFUNCTION("""COMPUTED_VALUE"""),"Eventos da Área")</f>
        <v>Eventos da Área</v>
      </c>
      <c r="B33" s="46" t="str">
        <f ca="1">IFERROR(__xludf.DUMMYFUNCTION("""COMPUTED_VALUE"""),"IWOCA")</f>
        <v>IWOCA</v>
      </c>
      <c r="C33" s="46" t="str">
        <f ca="1">IFERROR(__xludf.DUMMYFUNCTION("""COMPUTED_VALUE"""),"International Workshop on Combinatorial Algorithms")</f>
        <v>International Workshop on Combinatorial Algorithms</v>
      </c>
      <c r="D33" s="46">
        <f ca="1">IFERROR(__xludf.DUMMYFUNCTION("""COMPUTED_VALUE"""),11)</f>
        <v>11</v>
      </c>
      <c r="E33" s="60" t="str">
        <f ca="1">IFERROR(__xludf.DUMMYFUNCTION("""COMPUTED_VALUE"""),"https://scholar.google.com/citations?hl=en&amp;view_op=list_hcore&amp;venue=aEFAi4RU6TEJ.2020")</f>
        <v>https://scholar.google.com/citations?hl=en&amp;view_op=list_hcore&amp;venue=aEFAi4RU6TEJ.2020</v>
      </c>
    </row>
    <row r="34" spans="1:5" ht="25.5" customHeight="1">
      <c r="A34" s="73" t="str">
        <f ca="1">IFERROR(__xludf.DUMMYFUNCTION("""COMPUTED_VALUE"""),"Eventos da Área")</f>
        <v>Eventos da Área</v>
      </c>
      <c r="B34" s="46" t="str">
        <f ca="1">IFERROR(__xludf.DUMMYFUNCTION("""COMPUTED_VALUE"""),"SBPO")</f>
        <v>SBPO</v>
      </c>
      <c r="C34" s="46" t="str">
        <f ca="1">IFERROR(__xludf.DUMMYFUNCTION("""COMPUTED_VALUE"""),"Simpósio Brasileiro de Pesquisa Operacional")</f>
        <v>Simpósio Brasileiro de Pesquisa Operacional</v>
      </c>
      <c r="D34" s="46"/>
      <c r="E34" s="60"/>
    </row>
    <row r="35" spans="1:5" ht="25.5" customHeight="1">
      <c r="A35" s="73" t="str">
        <f ca="1">IFERROR(__xludf.DUMMYFUNCTION("""COMPUTED_VALUE"""),"Eventos da Área")</f>
        <v>Eventos da Área</v>
      </c>
      <c r="B35" s="46" t="str">
        <f ca="1">IFERROR(__xludf.DUMMYFUNCTION("""COMPUTED_VALUE"""),"CLAIO")</f>
        <v>CLAIO</v>
      </c>
      <c r="C35" s="46" t="str">
        <f ca="1">IFERROR(__xludf.DUMMYFUNCTION("""COMPUTED_VALUE"""),"Latin-Ibero-American Conference on Operations Research")</f>
        <v>Latin-Ibero-American Conference on Operations Research</v>
      </c>
      <c r="D35" s="46"/>
      <c r="E35" s="60"/>
    </row>
    <row r="36" spans="1:5" ht="25.5" customHeight="1">
      <c r="A36" s="73" t="str">
        <f ca="1">IFERROR(__xludf.DUMMYFUNCTION("""COMPUTED_VALUE"""),"Eventos da Área")</f>
        <v>Eventos da Área</v>
      </c>
      <c r="B36" s="46" t="str">
        <f ca="1">IFERROR(__xludf.DUMMYFUNCTION("""COMPUTED_VALUE"""),"ALIO/EURO")</f>
        <v>ALIO/EURO</v>
      </c>
      <c r="C36" s="46" t="str">
        <f ca="1">IFERROR(__xludf.DUMMYFUNCTION("""COMPUTED_VALUE"""),"Workshop on Applied Combinatorial Optimization")</f>
        <v>Workshop on Applied Combinatorial Optimization</v>
      </c>
      <c r="D36" s="46"/>
      <c r="E36" s="60"/>
    </row>
    <row r="37" spans="1:5" ht="25.5" customHeight="1">
      <c r="A37" s="73" t="str">
        <f ca="1">IFERROR(__xludf.DUMMYFUNCTION("""COMPUTED_VALUE"""),"Eventos da Área")</f>
        <v>Eventos da Área</v>
      </c>
      <c r="B37" s="46" t="str">
        <f ca="1">IFERROR(__xludf.DUMMYFUNCTION("""COMPUTED_VALUE"""),"ETC")</f>
        <v>ETC</v>
      </c>
      <c r="C37" s="46" t="str">
        <f ca="1">IFERROR(__xludf.DUMMYFUNCTION("""COMPUTED_VALUE"""),"Encontro de Teoria da Computação")</f>
        <v>Encontro de Teoria da Computação</v>
      </c>
      <c r="D37" s="46"/>
      <c r="E37" s="60"/>
    </row>
    <row r="38" spans="1:5" ht="25.5" customHeight="1">
      <c r="A38" s="73" t="str">
        <f ca="1">IFERROR(__xludf.DUMMYFUNCTION("""COMPUTED_VALUE"""),"Eventos da Área")</f>
        <v>Eventos da Área</v>
      </c>
      <c r="B38" s="46" t="str">
        <f ca="1">IFERROR(__xludf.DUMMYFUNCTION("""COMPUTED_VALUE"""),"CNMAC")</f>
        <v>CNMAC</v>
      </c>
      <c r="C38" s="46" t="str">
        <f ca="1">IFERROR(__xludf.DUMMYFUNCTION("""COMPUTED_VALUE"""),"Congresso Nacional de Matemática Aplicada e Computacional")</f>
        <v>Congresso Nacional de Matemática Aplicada e Computacional</v>
      </c>
      <c r="D38" s="46"/>
      <c r="E38" s="60"/>
    </row>
  </sheetData>
  <hyperlinks>
    <hyperlink ref="E2" r:id="rId1" display="https://scholar.google.com/citations?hl=en&amp;view_op=list_hcore&amp;venue=egNNr3AJ0DUJ.2018"/>
    <hyperlink ref="E3" r:id="rId2" display="https://scholar.google.com/citations?hl=en&amp;view_op=list_hcore&amp;venue=NejxsCd_fcQJ.2018"/>
    <hyperlink ref="E4" r:id="rId3" display="https://scholar.google.com/citations?hl=en&amp;view_op=list_hcore&amp;venue=9lG2cY79sEoJ.2018"/>
    <hyperlink ref="E5" r:id="rId4" display="https://scholar.google.com/citations?hl=en&amp;view_op=list_hcore&amp;venue=-jyI22RzDikJ.2018"/>
    <hyperlink ref="E6" r:id="rId5" display="https://scholar.google.com/citations?hl=en&amp;view_op=list_hcore&amp;venue=sNtxnFuOq5YJ.2018"/>
    <hyperlink ref="E7" r:id="rId6" display="https://scholar.google.com/citations?hl=en&amp;view_op=list_hcore&amp;venue=BmGC50v8VqkJ.2018"/>
    <hyperlink ref="E8" r:id="rId7" display="https://scholar.google.com/citations?hl=en&amp;view_op=list_hcore&amp;venue=H_xY24v1wX8J.2018"/>
    <hyperlink ref="E9" r:id="rId8" display="https://scholar.google.com/citations?hl=en&amp;view_op=list_hcore&amp;venue=bEdEBGLFMMoJ.2018"/>
    <hyperlink ref="E10" r:id="rId9" display="https://scholar.google.com/citations?hl=en&amp;view_op=list_hcore&amp;venue=wn0aYglh-KMJ.2018"/>
    <hyperlink ref="E11" r:id="rId10" display="https://scholar.google.com/citations?hl=en&amp;view_op=list_hcore&amp;venue=OeICmY9lwg4J.2018"/>
    <hyperlink ref="E12" r:id="rId11" display="https://scholar.google.com/citations?hl=en&amp;view_op=list_hcore&amp;venue=b7Wt8oz6uqAJ.2018"/>
    <hyperlink ref="E13" r:id="rId12" display="https://scholar.google.com/citations?hl=en&amp;view_op=list_hcore&amp;venue=9932mATgN9kJ.2018"/>
    <hyperlink ref="E14" r:id="rId13" display="https://scholar.google.com/citations?hl=en&amp;view_op=list_hcore&amp;venue=M9oM2PGejDoJ.2019"/>
    <hyperlink ref="E15" r:id="rId14" display="https://scholar.google.com/citations?hl=en&amp;view_op=list_hcore&amp;venue=5mM2zjnIDtwJ.2019"/>
    <hyperlink ref="E16" r:id="rId15" display="https://scholar.google.com/citations?hl=en&amp;view_op=list_hcore&amp;venue=YFgbcWcmuG4J.2019"/>
    <hyperlink ref="E17" r:id="rId16" display="https://scholar.google.com/citations?hl=en&amp;view_op=list_hcore&amp;venue=MGCukPJHrn0J.2019"/>
    <hyperlink ref="E18" r:id="rId17" display="https://scholar.google.com/citations?hl=en&amp;view_op=list_hcore&amp;venue=VHvULLS5ORIJ.2019"/>
    <hyperlink ref="E19" r:id="rId18" display="https://scholar.google.com/citations?hl=en&amp;view_op=list_hcore&amp;venue=REeNFlEptmgJ.2018"/>
    <hyperlink ref="E20" r:id="rId19" display="https://scholar.google.com/citations?hl=en&amp;view_op=list_hcore&amp;venue=nuQnbkFkrG0J.2019"/>
    <hyperlink ref="E21" r:id="rId20" display="https://scholar.google.com/citations?hl=en&amp;view_op=list_hcore&amp;venue=omO5C9pkf-8J.2020"/>
    <hyperlink ref="E22" r:id="rId21" display="https://scholar.google.com/citations?hl=en&amp;view_op=list_hcore&amp;venue=WuJ205lBDckJ.2019"/>
    <hyperlink ref="E23" r:id="rId22" display="https://scholar.google.com/citations?hl=en&amp;view_op=list_hcore&amp;venue=_nw1GAGIGkEJ.2019"/>
    <hyperlink ref="E25" r:id="rId23" display="https://scholar.google.com/citations?hl=en&amp;view_op=list_hcore&amp;venue=xFmuhcLxNaUJ.2020"/>
    <hyperlink ref="E27" r:id="rId24" display="https://scholar.google.com/citations?hl=en&amp;view_op=list_hcore&amp;venue=Qm-_RD142XUJ.2020"/>
    <hyperlink ref="E28" r:id="rId25" display="https://scholar.google.com/citations?hl=en&amp;view_op=list_hcore&amp;venue=oMZjQ-X5R1EJ.2020"/>
    <hyperlink ref="E29" r:id="rId26" display="https://scholar.google.com/citations?hl=en&amp;view_op=list_hcore&amp;venue=IyEy51GZdIUJ.2019"/>
    <hyperlink ref="E32" r:id="rId27" display="https://scholar.google.com/citations?hl=en&amp;view_op=list_hcore&amp;venue=3cSHcC5AA7QJ.2020"/>
    <hyperlink ref="E33" r:id="rId28" display="https://scholar.google.com/citations?hl=en&amp;view_op=list_hcore&amp;venue=aEFAi4RU6TEJ.2020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7"/>
  <sheetViews>
    <sheetView showGridLines="0" workbookViewId="0">
      <selection activeCell="C34" sqref="C34"/>
    </sheetView>
  </sheetViews>
  <sheetFormatPr defaultColWidth="12.5703125" defaultRowHeight="25.5" customHeight="1"/>
  <cols>
    <col min="1" max="1" width="7.28515625" style="65" bestFit="1" customWidth="1"/>
    <col min="2" max="2" width="11.7109375" style="65" bestFit="1" customWidth="1"/>
    <col min="3" max="3" width="90.85546875" style="65" bestFit="1" customWidth="1"/>
    <col min="4" max="4" width="4.140625" style="65" bestFit="1" customWidth="1"/>
    <col min="5" max="5" width="114" style="65" bestFit="1" customWidth="1"/>
    <col min="6" max="16384" width="12.5703125" style="65"/>
  </cols>
  <sheetData>
    <row r="1" spans="1:25" ht="25.5" customHeight="1">
      <c r="A1" s="71" t="s">
        <v>2359</v>
      </c>
      <c r="B1" s="71" t="s">
        <v>0</v>
      </c>
      <c r="C1" s="71" t="s">
        <v>2360</v>
      </c>
      <c r="D1" s="71" t="s">
        <v>2361</v>
      </c>
      <c r="E1" s="71" t="s">
        <v>2362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25.5" customHeight="1">
      <c r="A2" s="67" t="s">
        <v>2363</v>
      </c>
      <c r="B2" s="46" t="s">
        <v>418</v>
      </c>
      <c r="C2" s="46" t="s">
        <v>419</v>
      </c>
      <c r="D2" s="46">
        <v>23</v>
      </c>
      <c r="E2" s="46" t="s">
        <v>3031</v>
      </c>
    </row>
    <row r="3" spans="1:25" ht="25.5" customHeight="1">
      <c r="A3" s="67" t="s">
        <v>2363</v>
      </c>
      <c r="B3" s="46" t="s">
        <v>504</v>
      </c>
      <c r="C3" s="46" t="s">
        <v>505</v>
      </c>
      <c r="D3" s="46">
        <v>23</v>
      </c>
      <c r="E3" s="46" t="s">
        <v>3032</v>
      </c>
    </row>
    <row r="4" spans="1:25" ht="25.5" customHeight="1">
      <c r="A4" s="67" t="s">
        <v>2363</v>
      </c>
      <c r="B4" s="46" t="s">
        <v>3033</v>
      </c>
      <c r="C4" s="46" t="s">
        <v>3034</v>
      </c>
      <c r="D4" s="46">
        <v>22</v>
      </c>
      <c r="E4" s="46" t="s">
        <v>3035</v>
      </c>
    </row>
    <row r="5" spans="1:25" ht="25.5" customHeight="1">
      <c r="A5" s="67" t="s">
        <v>2363</v>
      </c>
      <c r="B5" s="46" t="s">
        <v>1069</v>
      </c>
      <c r="C5" s="46" t="s">
        <v>3036</v>
      </c>
      <c r="D5" s="46">
        <v>19</v>
      </c>
      <c r="E5" s="46" t="s">
        <v>3037</v>
      </c>
    </row>
    <row r="6" spans="1:25" ht="25.5" customHeight="1">
      <c r="A6" s="67" t="s">
        <v>2363</v>
      </c>
      <c r="B6" s="46" t="s">
        <v>1018</v>
      </c>
      <c r="C6" s="46" t="s">
        <v>1019</v>
      </c>
      <c r="D6" s="46">
        <v>12</v>
      </c>
      <c r="E6" s="46" t="s">
        <v>3038</v>
      </c>
    </row>
    <row r="7" spans="1:25" ht="25.5" customHeight="1">
      <c r="A7" s="67" t="s">
        <v>2363</v>
      </c>
      <c r="B7" s="46" t="s">
        <v>502</v>
      </c>
      <c r="C7" s="46" t="s">
        <v>3039</v>
      </c>
      <c r="D7" s="46">
        <v>11</v>
      </c>
      <c r="E7" s="46" t="s">
        <v>3040</v>
      </c>
    </row>
    <row r="8" spans="1:25" ht="25.5" customHeight="1">
      <c r="A8" s="67" t="s">
        <v>2363</v>
      </c>
      <c r="B8" s="68" t="s">
        <v>1267</v>
      </c>
      <c r="C8" s="46" t="s">
        <v>1268</v>
      </c>
      <c r="D8" s="46">
        <v>11</v>
      </c>
      <c r="E8" s="46" t="s">
        <v>3041</v>
      </c>
    </row>
    <row r="9" spans="1:25" ht="25.5" customHeight="1">
      <c r="A9" s="67" t="s">
        <v>2363</v>
      </c>
      <c r="B9" s="46" t="s">
        <v>1089</v>
      </c>
      <c r="C9" s="46" t="s">
        <v>3042</v>
      </c>
      <c r="D9" s="46">
        <v>10</v>
      </c>
      <c r="E9" s="46" t="s">
        <v>3043</v>
      </c>
    </row>
    <row r="10" spans="1:25" ht="25.5" customHeight="1">
      <c r="A10" s="67" t="s">
        <v>2363</v>
      </c>
      <c r="B10" s="46" t="s">
        <v>3044</v>
      </c>
      <c r="C10" s="46" t="s">
        <v>3045</v>
      </c>
      <c r="D10" s="46">
        <v>9</v>
      </c>
      <c r="E10" s="46" t="s">
        <v>3046</v>
      </c>
    </row>
    <row r="11" spans="1:25" ht="25.5" customHeight="1">
      <c r="A11" s="67" t="s">
        <v>2363</v>
      </c>
      <c r="B11" s="46" t="s">
        <v>1535</v>
      </c>
      <c r="C11" s="46" t="s">
        <v>1536</v>
      </c>
      <c r="D11" s="46">
        <v>8</v>
      </c>
      <c r="E11" s="46" t="s">
        <v>3047</v>
      </c>
    </row>
    <row r="12" spans="1:25" ht="25.5" customHeight="1">
      <c r="A12" s="70" t="s">
        <v>2383</v>
      </c>
      <c r="B12" s="46" t="s">
        <v>3048</v>
      </c>
      <c r="C12" s="46" t="s">
        <v>3049</v>
      </c>
      <c r="D12" s="46">
        <v>6</v>
      </c>
      <c r="E12" s="46" t="s">
        <v>3050</v>
      </c>
    </row>
    <row r="13" spans="1:25" ht="25.5" customHeight="1">
      <c r="A13" s="70" t="s">
        <v>2383</v>
      </c>
      <c r="B13" s="46" t="s">
        <v>1435</v>
      </c>
      <c r="C13" s="46" t="s">
        <v>1436</v>
      </c>
      <c r="D13" s="46" t="s">
        <v>3051</v>
      </c>
      <c r="E13" s="46" t="s">
        <v>3052</v>
      </c>
    </row>
    <row r="14" spans="1:25" ht="25.5" customHeight="1">
      <c r="A14" s="70" t="s">
        <v>2383</v>
      </c>
      <c r="B14" s="46" t="s">
        <v>3053</v>
      </c>
      <c r="C14" s="46" t="s">
        <v>3054</v>
      </c>
      <c r="D14" s="46"/>
      <c r="E14" s="46" t="s">
        <v>3052</v>
      </c>
    </row>
    <row r="15" spans="1:25" ht="25.5" customHeight="1">
      <c r="A15" s="70" t="s">
        <v>2383</v>
      </c>
      <c r="B15" s="46" t="s">
        <v>3055</v>
      </c>
      <c r="C15" s="46" t="s">
        <v>3056</v>
      </c>
      <c r="D15" s="46"/>
      <c r="E15" s="46" t="s">
        <v>3052</v>
      </c>
    </row>
    <row r="16" spans="1:25" ht="25.5" customHeight="1">
      <c r="A16" s="70" t="s">
        <v>2383</v>
      </c>
      <c r="B16" s="46" t="s">
        <v>3057</v>
      </c>
      <c r="C16" s="46" t="s">
        <v>3058</v>
      </c>
      <c r="D16" s="46"/>
      <c r="E16" s="46" t="s">
        <v>3052</v>
      </c>
    </row>
    <row r="17" spans="1:5" ht="25.5" customHeight="1">
      <c r="A17" s="70" t="s">
        <v>2383</v>
      </c>
      <c r="B17" s="68" t="s">
        <v>3059</v>
      </c>
      <c r="C17" s="46" t="s">
        <v>3060</v>
      </c>
      <c r="D17" s="46"/>
      <c r="E17" s="46" t="s">
        <v>3052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8"/>
  <sheetViews>
    <sheetView showGridLines="0" zoomScaleNormal="100" workbookViewId="0">
      <selection activeCell="C34" sqref="C34"/>
    </sheetView>
  </sheetViews>
  <sheetFormatPr defaultColWidth="12.5703125" defaultRowHeight="25.5" customHeight="1"/>
  <cols>
    <col min="1" max="1" width="16.140625" style="65" bestFit="1" customWidth="1"/>
    <col min="2" max="2" width="15" style="65" bestFit="1" customWidth="1"/>
    <col min="3" max="3" width="136.7109375" style="65" bestFit="1" customWidth="1"/>
    <col min="4" max="4" width="8.7109375" style="65" bestFit="1" customWidth="1"/>
    <col min="5" max="5" width="156.7109375" style="66" bestFit="1" customWidth="1"/>
    <col min="6" max="16384" width="12.5703125" style="65"/>
  </cols>
  <sheetData>
    <row r="1" spans="1:5" ht="25.5" customHeight="1">
      <c r="A1" s="54" t="s">
        <v>2359</v>
      </c>
      <c r="B1" s="54" t="s">
        <v>0</v>
      </c>
      <c r="C1" s="54" t="s">
        <v>2360</v>
      </c>
      <c r="D1" s="54" t="s">
        <v>2361</v>
      </c>
      <c r="E1" s="56" t="s">
        <v>2362</v>
      </c>
    </row>
    <row r="2" spans="1:5" ht="25.5" customHeight="1">
      <c r="A2" s="47" t="s">
        <v>2363</v>
      </c>
      <c r="B2" s="45" t="s">
        <v>84</v>
      </c>
      <c r="C2" s="45" t="s">
        <v>3336</v>
      </c>
      <c r="D2" s="45">
        <v>80</v>
      </c>
      <c r="E2" s="57" t="s">
        <v>3337</v>
      </c>
    </row>
    <row r="3" spans="1:5" ht="25.5" customHeight="1">
      <c r="A3" s="47" t="s">
        <v>2363</v>
      </c>
      <c r="B3" s="45" t="s">
        <v>144</v>
      </c>
      <c r="C3" s="45" t="s">
        <v>145</v>
      </c>
      <c r="D3" s="45">
        <v>32</v>
      </c>
      <c r="E3" s="57" t="s">
        <v>3338</v>
      </c>
    </row>
    <row r="4" spans="1:5" ht="25.5" customHeight="1">
      <c r="A4" s="47" t="s">
        <v>2363</v>
      </c>
      <c r="B4" s="45" t="s">
        <v>870</v>
      </c>
      <c r="C4" s="45" t="s">
        <v>871</v>
      </c>
      <c r="D4" s="45">
        <v>18</v>
      </c>
      <c r="E4" s="57" t="s">
        <v>3339</v>
      </c>
    </row>
    <row r="5" spans="1:5" ht="25.5" customHeight="1">
      <c r="A5" s="47" t="s">
        <v>2363</v>
      </c>
      <c r="B5" s="45" t="s">
        <v>732</v>
      </c>
      <c r="C5" s="45" t="s">
        <v>733</v>
      </c>
      <c r="D5" s="45">
        <v>15</v>
      </c>
      <c r="E5" s="57" t="s">
        <v>3340</v>
      </c>
    </row>
    <row r="6" spans="1:5" ht="25.5" customHeight="1">
      <c r="A6" s="47" t="s">
        <v>2363</v>
      </c>
      <c r="B6" s="45" t="s">
        <v>438</v>
      </c>
      <c r="C6" s="45" t="s">
        <v>2290</v>
      </c>
      <c r="D6" s="45"/>
      <c r="E6" s="57"/>
    </row>
    <row r="7" spans="1:5" ht="25.5" customHeight="1">
      <c r="A7" s="47" t="s">
        <v>2363</v>
      </c>
      <c r="B7" s="45" t="s">
        <v>3341</v>
      </c>
      <c r="C7" s="45" t="s">
        <v>3342</v>
      </c>
      <c r="D7" s="45"/>
      <c r="E7" s="57"/>
    </row>
    <row r="8" spans="1:5" ht="25.5" customHeight="1">
      <c r="A8" s="47" t="s">
        <v>2363</v>
      </c>
      <c r="B8" s="45" t="s">
        <v>3343</v>
      </c>
      <c r="C8" s="45" t="s">
        <v>3344</v>
      </c>
      <c r="D8" s="45">
        <v>15</v>
      </c>
      <c r="E8" s="57" t="s">
        <v>3345</v>
      </c>
    </row>
    <row r="9" spans="1:5" ht="25.5" customHeight="1">
      <c r="A9" s="47" t="s">
        <v>2363</v>
      </c>
      <c r="B9" s="45" t="s">
        <v>792</v>
      </c>
      <c r="C9" s="45" t="s">
        <v>793</v>
      </c>
      <c r="D9" s="45">
        <v>15</v>
      </c>
      <c r="E9" s="57" t="s">
        <v>3346</v>
      </c>
    </row>
    <row r="10" spans="1:5" ht="25.5" customHeight="1">
      <c r="A10" s="47" t="s">
        <v>2363</v>
      </c>
      <c r="B10" s="45" t="s">
        <v>1607</v>
      </c>
      <c r="C10" s="45" t="s">
        <v>1608</v>
      </c>
      <c r="D10" s="45"/>
      <c r="E10" s="57"/>
    </row>
    <row r="11" spans="1:5" ht="25.5" customHeight="1">
      <c r="A11" s="47" t="s">
        <v>2363</v>
      </c>
      <c r="B11" s="45" t="s">
        <v>3347</v>
      </c>
      <c r="C11" s="45" t="s">
        <v>3348</v>
      </c>
      <c r="D11" s="45"/>
      <c r="E11" s="57"/>
    </row>
    <row r="12" spans="1:5" ht="25.5" customHeight="1">
      <c r="A12" s="49" t="s">
        <v>2383</v>
      </c>
      <c r="B12" s="45" t="s">
        <v>3349</v>
      </c>
      <c r="C12" s="45" t="s">
        <v>3350</v>
      </c>
      <c r="D12" s="45"/>
      <c r="E12" s="57"/>
    </row>
    <row r="13" spans="1:5" ht="25.5" customHeight="1">
      <c r="A13" s="49" t="s">
        <v>2383</v>
      </c>
      <c r="B13" s="45" t="s">
        <v>3351</v>
      </c>
      <c r="C13" s="45" t="s">
        <v>3352</v>
      </c>
      <c r="D13" s="45"/>
      <c r="E13" s="57"/>
    </row>
    <row r="14" spans="1:5" ht="25.5" customHeight="1">
      <c r="A14" s="49" t="s">
        <v>2383</v>
      </c>
      <c r="B14" s="45" t="s">
        <v>2197</v>
      </c>
      <c r="C14" s="45" t="s">
        <v>2198</v>
      </c>
      <c r="D14" s="45"/>
      <c r="E14" s="57"/>
    </row>
    <row r="15" spans="1:5" ht="25.5" customHeight="1">
      <c r="A15" s="49" t="s">
        <v>2383</v>
      </c>
      <c r="B15" s="45" t="s">
        <v>3353</v>
      </c>
      <c r="C15" s="45" t="s">
        <v>3354</v>
      </c>
      <c r="D15" s="45"/>
      <c r="E15" s="57"/>
    </row>
    <row r="16" spans="1:5" ht="25.5" customHeight="1">
      <c r="A16" s="49" t="s">
        <v>2383</v>
      </c>
      <c r="B16" s="45" t="s">
        <v>3355</v>
      </c>
      <c r="C16" s="45" t="s">
        <v>3356</v>
      </c>
      <c r="D16" s="45"/>
      <c r="E16" s="57"/>
    </row>
    <row r="17" spans="1:5" ht="25.5" customHeight="1">
      <c r="A17" s="49" t="s">
        <v>2383</v>
      </c>
      <c r="B17" s="45" t="s">
        <v>3357</v>
      </c>
      <c r="C17" s="45" t="s">
        <v>3358</v>
      </c>
      <c r="D17" s="45">
        <v>10</v>
      </c>
      <c r="E17" s="57" t="s">
        <v>3359</v>
      </c>
    </row>
    <row r="18" spans="1:5" ht="25.5" customHeight="1">
      <c r="A18" s="49" t="s">
        <v>2383</v>
      </c>
      <c r="B18" s="45" t="s">
        <v>3360</v>
      </c>
      <c r="C18" s="45" t="s">
        <v>3361</v>
      </c>
      <c r="D18" s="45"/>
      <c r="E18" s="57"/>
    </row>
    <row r="19" spans="1:5" ht="25.5" customHeight="1">
      <c r="A19" s="49" t="s">
        <v>2383</v>
      </c>
      <c r="B19" s="45" t="s">
        <v>744</v>
      </c>
      <c r="C19" s="45" t="s">
        <v>3362</v>
      </c>
      <c r="D19" s="45"/>
      <c r="E19" s="57"/>
    </row>
    <row r="20" spans="1:5" ht="25.5" customHeight="1">
      <c r="A20" s="49" t="s">
        <v>2383</v>
      </c>
      <c r="B20" s="45" t="s">
        <v>3363</v>
      </c>
      <c r="C20" s="45" t="s">
        <v>3364</v>
      </c>
      <c r="D20" s="45"/>
      <c r="E20" s="57"/>
    </row>
    <row r="21" spans="1:5" ht="25.5" customHeight="1">
      <c r="A21" s="49" t="s">
        <v>2383</v>
      </c>
      <c r="B21" s="45" t="s">
        <v>3365</v>
      </c>
      <c r="C21" s="45" t="s">
        <v>3366</v>
      </c>
      <c r="D21" s="45"/>
      <c r="E21" s="57"/>
    </row>
    <row r="22" spans="1:5" ht="25.5" customHeight="1">
      <c r="A22" s="51" t="s">
        <v>2406</v>
      </c>
      <c r="B22" s="50" t="s">
        <v>3367</v>
      </c>
      <c r="C22" s="45" t="s">
        <v>3368</v>
      </c>
      <c r="D22" s="45"/>
      <c r="E22" s="61"/>
    </row>
    <row r="23" spans="1:5" ht="25.5" customHeight="1">
      <c r="A23" s="51" t="s">
        <v>2406</v>
      </c>
      <c r="B23" s="45" t="s">
        <v>3369</v>
      </c>
      <c r="C23" s="75" t="s">
        <v>3370</v>
      </c>
      <c r="D23" s="45"/>
      <c r="E23" s="57"/>
    </row>
    <row r="24" spans="1:5" ht="25.5" customHeight="1">
      <c r="A24" s="51" t="s">
        <v>2406</v>
      </c>
      <c r="B24" s="50" t="s">
        <v>3371</v>
      </c>
      <c r="C24" s="50" t="s">
        <v>3372</v>
      </c>
      <c r="D24" s="45"/>
      <c r="E24" s="57"/>
    </row>
    <row r="25" spans="1:5" ht="25.5" customHeight="1">
      <c r="A25" s="51" t="s">
        <v>2406</v>
      </c>
      <c r="B25" s="45" t="s">
        <v>3373</v>
      </c>
      <c r="C25" s="45" t="s">
        <v>3374</v>
      </c>
      <c r="D25" s="45"/>
      <c r="E25" s="57"/>
    </row>
    <row r="26" spans="1:5" ht="25.5" customHeight="1">
      <c r="A26" s="51" t="s">
        <v>2406</v>
      </c>
      <c r="B26" s="45" t="s">
        <v>3375</v>
      </c>
      <c r="C26" s="45" t="s">
        <v>3376</v>
      </c>
      <c r="D26" s="45"/>
      <c r="E26" s="57"/>
    </row>
    <row r="27" spans="1:5" ht="25.5" customHeight="1">
      <c r="A27" s="51" t="s">
        <v>2406</v>
      </c>
      <c r="B27" s="45" t="s">
        <v>3377</v>
      </c>
      <c r="C27" s="45" t="s">
        <v>3378</v>
      </c>
      <c r="D27" s="45"/>
      <c r="E27" s="57"/>
    </row>
    <row r="28" spans="1:5" ht="25.5" customHeight="1">
      <c r="A28" s="51" t="s">
        <v>2406</v>
      </c>
      <c r="B28" s="45" t="s">
        <v>3379</v>
      </c>
      <c r="C28" s="45" t="s">
        <v>3380</v>
      </c>
      <c r="D28" s="45"/>
      <c r="E28" s="57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1"/>
  <sheetViews>
    <sheetView showGridLines="0" zoomScaleNormal="100" workbookViewId="0">
      <selection activeCell="C34" sqref="C34"/>
    </sheetView>
  </sheetViews>
  <sheetFormatPr defaultColWidth="12.5703125" defaultRowHeight="25.5" customHeight="1"/>
  <cols>
    <col min="1" max="1" width="16.28515625" bestFit="1" customWidth="1"/>
    <col min="2" max="2" width="11.5703125" style="76" bestFit="1" customWidth="1"/>
    <col min="3" max="3" width="91.5703125" style="76" bestFit="1" customWidth="1"/>
    <col min="4" max="4" width="4.85546875" style="76" bestFit="1" customWidth="1"/>
    <col min="5" max="5" width="194.7109375" style="78" bestFit="1" customWidth="1"/>
  </cols>
  <sheetData>
    <row r="1" spans="1:5" ht="25.5" customHeight="1">
      <c r="A1" s="54" t="s">
        <v>2359</v>
      </c>
      <c r="B1" s="54" t="s">
        <v>0</v>
      </c>
      <c r="C1" s="54" t="s">
        <v>2360</v>
      </c>
      <c r="D1" s="54" t="s">
        <v>2361</v>
      </c>
      <c r="E1" s="56" t="s">
        <v>2362</v>
      </c>
    </row>
    <row r="2" spans="1:5" ht="25.5" customHeight="1">
      <c r="A2" s="47" t="s">
        <v>2363</v>
      </c>
      <c r="B2" s="55" t="s">
        <v>122</v>
      </c>
      <c r="C2" s="55" t="s">
        <v>123</v>
      </c>
      <c r="D2" s="55">
        <v>67</v>
      </c>
      <c r="E2" s="79" t="s">
        <v>3381</v>
      </c>
    </row>
    <row r="3" spans="1:5" ht="25.5" customHeight="1">
      <c r="A3" s="47" t="s">
        <v>2363</v>
      </c>
      <c r="B3" s="55" t="s">
        <v>2</v>
      </c>
      <c r="C3" s="55" t="s">
        <v>3382</v>
      </c>
      <c r="D3" s="55">
        <v>95</v>
      </c>
      <c r="E3" s="79" t="s">
        <v>3383</v>
      </c>
    </row>
    <row r="4" spans="1:5" ht="25.5" customHeight="1">
      <c r="A4" s="47" t="s">
        <v>2363</v>
      </c>
      <c r="B4" s="55" t="s">
        <v>2634</v>
      </c>
      <c r="C4" s="55" t="s">
        <v>3384</v>
      </c>
      <c r="D4" s="55">
        <v>169</v>
      </c>
      <c r="E4" s="79" t="s">
        <v>3385</v>
      </c>
    </row>
    <row r="5" spans="1:5" ht="25.5" customHeight="1">
      <c r="A5" s="47" t="s">
        <v>2363</v>
      </c>
      <c r="B5" s="55" t="s">
        <v>104</v>
      </c>
      <c r="C5" s="55" t="s">
        <v>105</v>
      </c>
      <c r="D5" s="55">
        <v>135</v>
      </c>
      <c r="E5" s="79" t="s">
        <v>3386</v>
      </c>
    </row>
    <row r="6" spans="1:5" ht="25.5" customHeight="1">
      <c r="A6" s="47" t="s">
        <v>2363</v>
      </c>
      <c r="B6" s="55" t="s">
        <v>4</v>
      </c>
      <c r="C6" s="55" t="s">
        <v>5</v>
      </c>
      <c r="D6" s="55">
        <v>39</v>
      </c>
      <c r="E6" s="79" t="s">
        <v>3387</v>
      </c>
    </row>
    <row r="7" spans="1:5" ht="25.5" customHeight="1">
      <c r="A7" s="47" t="s">
        <v>2363</v>
      </c>
      <c r="B7" s="55" t="s">
        <v>324</v>
      </c>
      <c r="C7" s="55" t="s">
        <v>325</v>
      </c>
      <c r="D7" s="55">
        <v>28</v>
      </c>
      <c r="E7" s="79" t="s">
        <v>3388</v>
      </c>
    </row>
    <row r="8" spans="1:5" ht="25.5" customHeight="1">
      <c r="A8" s="47" t="s">
        <v>2363</v>
      </c>
      <c r="B8" s="55" t="s">
        <v>280</v>
      </c>
      <c r="C8" s="55" t="s">
        <v>281</v>
      </c>
      <c r="D8" s="55">
        <v>26</v>
      </c>
      <c r="E8" s="79" t="s">
        <v>3389</v>
      </c>
    </row>
    <row r="9" spans="1:5" ht="25.5" customHeight="1">
      <c r="A9" s="47" t="s">
        <v>2363</v>
      </c>
      <c r="B9" s="55" t="s">
        <v>204</v>
      </c>
      <c r="C9" s="55" t="s">
        <v>205</v>
      </c>
      <c r="D9" s="55">
        <v>33</v>
      </c>
      <c r="E9" s="79" t="s">
        <v>3390</v>
      </c>
    </row>
    <row r="10" spans="1:5" ht="25.5" customHeight="1">
      <c r="A10" s="47" t="s">
        <v>2363</v>
      </c>
      <c r="B10" s="55" t="s">
        <v>382</v>
      </c>
      <c r="C10" s="55" t="s">
        <v>383</v>
      </c>
      <c r="D10" s="55">
        <v>25</v>
      </c>
      <c r="E10" s="79" t="s">
        <v>3391</v>
      </c>
    </row>
    <row r="11" spans="1:5" ht="25.5" customHeight="1">
      <c r="A11" s="47" t="s">
        <v>2363</v>
      </c>
      <c r="B11" s="55" t="s">
        <v>3392</v>
      </c>
      <c r="C11" s="55" t="s">
        <v>3393</v>
      </c>
      <c r="D11" s="55">
        <v>52</v>
      </c>
      <c r="E11" s="79" t="s">
        <v>3394</v>
      </c>
    </row>
    <row r="12" spans="1:5" ht="25.5" customHeight="1">
      <c r="A12" s="49" t="s">
        <v>2383</v>
      </c>
      <c r="B12" s="55" t="s">
        <v>136</v>
      </c>
      <c r="C12" s="55" t="s">
        <v>3395</v>
      </c>
      <c r="D12" s="55">
        <v>54</v>
      </c>
      <c r="E12" s="79" t="s">
        <v>3396</v>
      </c>
    </row>
    <row r="13" spans="1:5" ht="25.5" customHeight="1">
      <c r="A13" s="49" t="s">
        <v>2383</v>
      </c>
      <c r="B13" s="55" t="s">
        <v>148</v>
      </c>
      <c r="C13" s="55" t="s">
        <v>149</v>
      </c>
      <c r="D13" s="55">
        <v>40</v>
      </c>
      <c r="E13" s="79" t="s">
        <v>3397</v>
      </c>
    </row>
    <row r="14" spans="1:5" ht="25.5" customHeight="1">
      <c r="A14" s="49" t="s">
        <v>2383</v>
      </c>
      <c r="B14" s="55" t="s">
        <v>118</v>
      </c>
      <c r="C14" s="55" t="s">
        <v>119</v>
      </c>
      <c r="D14" s="55">
        <v>60</v>
      </c>
      <c r="E14" s="79" t="s">
        <v>3398</v>
      </c>
    </row>
    <row r="15" spans="1:5" ht="25.5" customHeight="1">
      <c r="A15" s="49" t="s">
        <v>2383</v>
      </c>
      <c r="B15" s="55" t="s">
        <v>212</v>
      </c>
      <c r="C15" s="55" t="s">
        <v>213</v>
      </c>
      <c r="D15" s="55">
        <v>58</v>
      </c>
      <c r="E15" s="79" t="s">
        <v>3399</v>
      </c>
    </row>
    <row r="16" spans="1:5" ht="25.5" customHeight="1">
      <c r="A16" s="49" t="s">
        <v>2383</v>
      </c>
      <c r="B16" s="55" t="s">
        <v>3400</v>
      </c>
      <c r="C16" s="55" t="s">
        <v>55</v>
      </c>
      <c r="D16" s="55">
        <v>55</v>
      </c>
      <c r="E16" s="79" t="s">
        <v>3401</v>
      </c>
    </row>
    <row r="17" spans="1:5" ht="25.5" customHeight="1">
      <c r="A17" s="49" t="s">
        <v>2383</v>
      </c>
      <c r="B17" s="55" t="s">
        <v>3402</v>
      </c>
      <c r="C17" s="55" t="s">
        <v>3403</v>
      </c>
      <c r="D17" s="55">
        <v>48</v>
      </c>
      <c r="E17" s="79" t="s">
        <v>3404</v>
      </c>
    </row>
    <row r="18" spans="1:5" ht="25.5" customHeight="1">
      <c r="A18" s="49" t="s">
        <v>2383</v>
      </c>
      <c r="B18" s="55" t="s">
        <v>68</v>
      </c>
      <c r="C18" s="55" t="s">
        <v>2651</v>
      </c>
      <c r="D18" s="55">
        <v>36</v>
      </c>
      <c r="E18" s="79" t="s">
        <v>3405</v>
      </c>
    </row>
    <row r="19" spans="1:5" ht="25.5" customHeight="1">
      <c r="A19" s="49" t="s">
        <v>2383</v>
      </c>
      <c r="B19" s="55" t="s">
        <v>3406</v>
      </c>
      <c r="C19" s="55" t="s">
        <v>659</v>
      </c>
      <c r="D19" s="55">
        <v>21</v>
      </c>
      <c r="E19" s="79" t="s">
        <v>3407</v>
      </c>
    </row>
    <row r="20" spans="1:5" ht="25.5" customHeight="1">
      <c r="A20" s="49" t="s">
        <v>2383</v>
      </c>
      <c r="B20" s="55" t="s">
        <v>1079</v>
      </c>
      <c r="C20" s="55" t="s">
        <v>3408</v>
      </c>
      <c r="D20" s="55">
        <v>15</v>
      </c>
      <c r="E20" s="79" t="s">
        <v>3409</v>
      </c>
    </row>
    <row r="21" spans="1:5" ht="25.5" customHeight="1">
      <c r="A21" s="49" t="s">
        <v>2383</v>
      </c>
      <c r="B21" s="55" t="s">
        <v>612</v>
      </c>
      <c r="C21" s="55" t="s">
        <v>613</v>
      </c>
      <c r="D21" s="55">
        <v>12</v>
      </c>
      <c r="E21" s="79" t="s">
        <v>3410</v>
      </c>
    </row>
    <row r="22" spans="1:5" ht="25.5" customHeight="1">
      <c r="A22" s="51" t="s">
        <v>2406</v>
      </c>
      <c r="B22" s="55" t="s">
        <v>1771</v>
      </c>
      <c r="C22" s="55" t="s">
        <v>3411</v>
      </c>
      <c r="D22" s="55"/>
      <c r="E22" s="79"/>
    </row>
    <row r="23" spans="1:5" ht="25.5" customHeight="1">
      <c r="A23" s="51" t="s">
        <v>2406</v>
      </c>
      <c r="B23" s="55" t="s">
        <v>1589</v>
      </c>
      <c r="C23" s="55" t="s">
        <v>3412</v>
      </c>
      <c r="D23" s="55"/>
      <c r="E23" s="79"/>
    </row>
    <row r="24" spans="1:5" ht="25.5" customHeight="1">
      <c r="A24" s="51" t="s">
        <v>2406</v>
      </c>
      <c r="B24" s="55" t="s">
        <v>1593</v>
      </c>
      <c r="C24" s="55" t="s">
        <v>1594</v>
      </c>
      <c r="D24" s="55"/>
      <c r="E24" s="79"/>
    </row>
    <row r="25" spans="1:5" ht="25.5" customHeight="1">
      <c r="A25" s="51" t="s">
        <v>2406</v>
      </c>
      <c r="B25" s="55" t="s">
        <v>216</v>
      </c>
      <c r="C25" s="55" t="s">
        <v>3413</v>
      </c>
      <c r="D25" s="55">
        <v>22</v>
      </c>
      <c r="E25" s="79" t="s">
        <v>3414</v>
      </c>
    </row>
    <row r="26" spans="1:5" ht="25.5" customHeight="1">
      <c r="A26" s="51" t="s">
        <v>2406</v>
      </c>
      <c r="B26" s="55" t="s">
        <v>24</v>
      </c>
      <c r="C26" s="55" t="s">
        <v>25</v>
      </c>
      <c r="D26" s="55">
        <v>51</v>
      </c>
      <c r="E26" s="79" t="s">
        <v>3415</v>
      </c>
    </row>
    <row r="27" spans="1:5" ht="25.5" customHeight="1">
      <c r="A27" s="51" t="s">
        <v>2406</v>
      </c>
      <c r="B27" s="55" t="s">
        <v>112</v>
      </c>
      <c r="C27" s="55" t="s">
        <v>113</v>
      </c>
      <c r="D27" s="55">
        <v>68</v>
      </c>
      <c r="E27" s="79" t="s">
        <v>3416</v>
      </c>
    </row>
    <row r="28" spans="1:5" ht="25.5" customHeight="1">
      <c r="A28" s="51" t="s">
        <v>2406</v>
      </c>
      <c r="B28" s="55" t="s">
        <v>818</v>
      </c>
      <c r="C28" s="55" t="s">
        <v>819</v>
      </c>
      <c r="D28" s="55">
        <v>18</v>
      </c>
      <c r="E28" s="79" t="s">
        <v>3417</v>
      </c>
    </row>
    <row r="29" spans="1:5" ht="25.5" customHeight="1">
      <c r="A29" s="51" t="s">
        <v>2406</v>
      </c>
      <c r="B29" s="55" t="s">
        <v>3418</v>
      </c>
      <c r="C29" s="55" t="s">
        <v>57</v>
      </c>
      <c r="D29" s="55">
        <v>34</v>
      </c>
      <c r="E29" s="79" t="s">
        <v>3419</v>
      </c>
    </row>
    <row r="30" spans="1:5" ht="25.5" customHeight="1">
      <c r="A30" s="51" t="s">
        <v>2406</v>
      </c>
      <c r="B30" s="55" t="s">
        <v>3420</v>
      </c>
      <c r="C30" s="55" t="s">
        <v>181</v>
      </c>
      <c r="D30" s="55">
        <v>35</v>
      </c>
      <c r="E30" s="79" t="s">
        <v>3421</v>
      </c>
    </row>
    <row r="31" spans="1:5" ht="25.5" customHeight="1">
      <c r="A31" s="51" t="s">
        <v>2406</v>
      </c>
      <c r="B31" s="55" t="s">
        <v>2457</v>
      </c>
      <c r="C31" s="55" t="s">
        <v>3422</v>
      </c>
      <c r="D31" s="55">
        <v>67</v>
      </c>
      <c r="E31" s="79" t="s">
        <v>3423</v>
      </c>
    </row>
    <row r="32" spans="1:5" ht="25.5" customHeight="1">
      <c r="A32" s="51" t="s">
        <v>2406</v>
      </c>
      <c r="B32" s="55" t="s">
        <v>376</v>
      </c>
      <c r="C32" s="55" t="s">
        <v>377</v>
      </c>
      <c r="D32" s="55">
        <v>26</v>
      </c>
      <c r="E32" s="79" t="s">
        <v>3424</v>
      </c>
    </row>
    <row r="33" spans="1:5" ht="25.5" customHeight="1">
      <c r="A33" s="51" t="s">
        <v>2406</v>
      </c>
      <c r="B33" s="55" t="s">
        <v>3425</v>
      </c>
      <c r="C33" s="55" t="s">
        <v>3426</v>
      </c>
      <c r="D33" s="55">
        <v>23</v>
      </c>
      <c r="E33" s="79"/>
    </row>
    <row r="34" spans="1:5" ht="25.5" customHeight="1">
      <c r="A34" s="51" t="s">
        <v>2406</v>
      </c>
      <c r="B34" s="55" t="s">
        <v>206</v>
      </c>
      <c r="C34" s="77" t="s">
        <v>3080</v>
      </c>
      <c r="D34" s="55">
        <v>57</v>
      </c>
      <c r="E34" s="79" t="s">
        <v>3427</v>
      </c>
    </row>
    <row r="35" spans="1:5" ht="25.5" customHeight="1">
      <c r="A35" s="51" t="s">
        <v>2406</v>
      </c>
      <c r="B35" s="55" t="s">
        <v>438</v>
      </c>
      <c r="C35" s="55" t="s">
        <v>439</v>
      </c>
      <c r="D35" s="55">
        <v>23</v>
      </c>
      <c r="E35" s="79" t="s">
        <v>3428</v>
      </c>
    </row>
    <row r="36" spans="1:5" ht="25.5" customHeight="1">
      <c r="A36" s="51" t="s">
        <v>2406</v>
      </c>
      <c r="B36" s="55" t="s">
        <v>246</v>
      </c>
      <c r="C36" s="55" t="s">
        <v>247</v>
      </c>
      <c r="D36" s="55">
        <v>20</v>
      </c>
      <c r="E36" s="79" t="s">
        <v>3429</v>
      </c>
    </row>
    <row r="37" spans="1:5" ht="25.5" customHeight="1">
      <c r="A37" s="51" t="s">
        <v>2406</v>
      </c>
      <c r="B37" s="55" t="s">
        <v>218</v>
      </c>
      <c r="C37" s="55" t="s">
        <v>219</v>
      </c>
      <c r="D37" s="55">
        <v>19</v>
      </c>
      <c r="E37" s="79" t="s">
        <v>3430</v>
      </c>
    </row>
    <row r="38" spans="1:5" ht="25.5" customHeight="1">
      <c r="A38" s="51" t="s">
        <v>2406</v>
      </c>
      <c r="B38" s="55" t="s">
        <v>3431</v>
      </c>
      <c r="C38" s="55" t="s">
        <v>199</v>
      </c>
      <c r="D38" s="55">
        <v>34</v>
      </c>
      <c r="E38" s="79" t="s">
        <v>3432</v>
      </c>
    </row>
    <row r="100" spans="1:6" s="12" customFormat="1" ht="25.5" customHeight="1">
      <c r="A100"/>
      <c r="B100" s="76"/>
      <c r="C100" s="76"/>
      <c r="D100" s="76"/>
      <c r="E100" s="78"/>
      <c r="F100"/>
    </row>
    <row r="101" spans="1:6" s="12" customFormat="1" ht="25.5" customHeight="1">
      <c r="A101"/>
      <c r="B101" s="76"/>
      <c r="C101" s="76"/>
      <c r="D101" s="76"/>
      <c r="E101" s="78"/>
      <c r="F101"/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1"/>
  <sheetViews>
    <sheetView showGridLines="0" workbookViewId="0">
      <selection activeCell="C34" sqref="C34"/>
    </sheetView>
  </sheetViews>
  <sheetFormatPr defaultColWidth="12.5703125" defaultRowHeight="25.5" customHeight="1"/>
  <cols>
    <col min="1" max="1" width="16.140625" style="65" bestFit="1" customWidth="1"/>
    <col min="2" max="2" width="12.28515625" style="65" bestFit="1" customWidth="1"/>
    <col min="3" max="3" width="110.85546875" style="65" bestFit="1" customWidth="1"/>
    <col min="4" max="4" width="4.42578125" style="65" bestFit="1" customWidth="1"/>
    <col min="5" max="5" width="127.5703125" style="66" bestFit="1" customWidth="1"/>
  </cols>
  <sheetData>
    <row r="1" spans="1:5" ht="25.5" customHeight="1">
      <c r="A1" s="54" t="s">
        <v>2359</v>
      </c>
      <c r="B1" s="54" t="s">
        <v>0</v>
      </c>
      <c r="C1" s="54" t="s">
        <v>2360</v>
      </c>
      <c r="D1" s="54" t="s">
        <v>2361</v>
      </c>
      <c r="E1" s="56" t="s">
        <v>2362</v>
      </c>
    </row>
    <row r="2" spans="1:5" ht="25.5" customHeight="1">
      <c r="A2" s="47" t="s">
        <v>2363</v>
      </c>
      <c r="B2" s="45" t="s">
        <v>2634</v>
      </c>
      <c r="C2" s="45" t="s">
        <v>2635</v>
      </c>
      <c r="D2" s="45">
        <v>169</v>
      </c>
      <c r="E2" s="61" t="s">
        <v>3385</v>
      </c>
    </row>
    <row r="3" spans="1:5" ht="25.5" customHeight="1">
      <c r="A3" s="47" t="s">
        <v>2363</v>
      </c>
      <c r="B3" s="45" t="s">
        <v>2669</v>
      </c>
      <c r="C3" s="45" t="s">
        <v>2670</v>
      </c>
      <c r="D3" s="45">
        <v>150</v>
      </c>
      <c r="E3" s="80" t="s">
        <v>3433</v>
      </c>
    </row>
    <row r="4" spans="1:5" ht="25.5" customHeight="1">
      <c r="A4" s="47" t="s">
        <v>2363</v>
      </c>
      <c r="B4" s="45" t="s">
        <v>104</v>
      </c>
      <c r="C4" s="45" t="s">
        <v>3434</v>
      </c>
      <c r="D4" s="45">
        <v>135</v>
      </c>
      <c r="E4" s="80" t="s">
        <v>3386</v>
      </c>
    </row>
    <row r="5" spans="1:5" ht="25.5" customHeight="1">
      <c r="A5" s="47" t="s">
        <v>2363</v>
      </c>
      <c r="B5" s="45" t="s">
        <v>2</v>
      </c>
      <c r="C5" s="45" t="s">
        <v>3382</v>
      </c>
      <c r="D5" s="45">
        <v>95</v>
      </c>
      <c r="E5" s="80" t="s">
        <v>3383</v>
      </c>
    </row>
    <row r="6" spans="1:5" ht="25.5" customHeight="1">
      <c r="A6" s="47" t="s">
        <v>2363</v>
      </c>
      <c r="B6" s="45" t="s">
        <v>150</v>
      </c>
      <c r="C6" s="45" t="s">
        <v>2458</v>
      </c>
      <c r="D6" s="45">
        <v>86</v>
      </c>
      <c r="E6" s="80" t="s">
        <v>3435</v>
      </c>
    </row>
    <row r="7" spans="1:5" ht="25.5" customHeight="1">
      <c r="A7" s="47" t="s">
        <v>2363</v>
      </c>
      <c r="B7" s="45" t="s">
        <v>3436</v>
      </c>
      <c r="C7" s="45" t="s">
        <v>3437</v>
      </c>
      <c r="D7" s="45">
        <v>44</v>
      </c>
      <c r="E7" s="80" t="s">
        <v>3438</v>
      </c>
    </row>
    <row r="8" spans="1:5" ht="25.5" customHeight="1">
      <c r="A8" s="47" t="s">
        <v>2363</v>
      </c>
      <c r="B8" s="45" t="s">
        <v>124</v>
      </c>
      <c r="C8" s="45" t="s">
        <v>2653</v>
      </c>
      <c r="D8" s="45">
        <v>36</v>
      </c>
      <c r="E8" s="61" t="s">
        <v>3439</v>
      </c>
    </row>
    <row r="9" spans="1:5" ht="25.5" customHeight="1">
      <c r="A9" s="47" t="s">
        <v>2363</v>
      </c>
      <c r="B9" s="45" t="s">
        <v>68</v>
      </c>
      <c r="C9" s="45" t="s">
        <v>2651</v>
      </c>
      <c r="D9" s="45">
        <v>36</v>
      </c>
      <c r="E9" s="61" t="s">
        <v>3405</v>
      </c>
    </row>
    <row r="10" spans="1:5" ht="25.5" customHeight="1">
      <c r="A10" s="47" t="s">
        <v>2363</v>
      </c>
      <c r="B10" s="45" t="s">
        <v>48</v>
      </c>
      <c r="C10" s="45" t="s">
        <v>3440</v>
      </c>
      <c r="D10" s="45">
        <v>30</v>
      </c>
      <c r="E10" s="80" t="s">
        <v>3441</v>
      </c>
    </row>
    <row r="11" spans="1:5" ht="25.5" customHeight="1">
      <c r="A11" s="47" t="s">
        <v>2363</v>
      </c>
      <c r="B11" s="45" t="s">
        <v>3406</v>
      </c>
      <c r="C11" s="45" t="s">
        <v>3442</v>
      </c>
      <c r="D11" s="45">
        <v>21</v>
      </c>
      <c r="E11" s="80" t="s">
        <v>3407</v>
      </c>
    </row>
    <row r="12" spans="1:5" ht="25.5" customHeight="1">
      <c r="A12" s="49" t="s">
        <v>2383</v>
      </c>
      <c r="B12" s="45" t="s">
        <v>24</v>
      </c>
      <c r="C12" s="45" t="s">
        <v>25</v>
      </c>
      <c r="D12" s="45">
        <v>68</v>
      </c>
      <c r="E12" s="61" t="s">
        <v>3443</v>
      </c>
    </row>
    <row r="13" spans="1:5" ht="25.5" customHeight="1">
      <c r="A13" s="49" t="s">
        <v>2383</v>
      </c>
      <c r="B13" s="45" t="s">
        <v>122</v>
      </c>
      <c r="C13" s="45" t="s">
        <v>3444</v>
      </c>
      <c r="D13" s="45">
        <v>67</v>
      </c>
      <c r="E13" s="80" t="s">
        <v>3381</v>
      </c>
    </row>
    <row r="14" spans="1:5" ht="25.5" customHeight="1">
      <c r="A14" s="49" t="s">
        <v>2383</v>
      </c>
      <c r="B14" s="45" t="s">
        <v>3392</v>
      </c>
      <c r="C14" s="45" t="s">
        <v>3393</v>
      </c>
      <c r="D14" s="45">
        <v>52</v>
      </c>
      <c r="E14" s="80" t="s">
        <v>3394</v>
      </c>
    </row>
    <row r="15" spans="1:5" ht="25.5" customHeight="1">
      <c r="A15" s="49" t="s">
        <v>2383</v>
      </c>
      <c r="B15" s="45" t="s">
        <v>3420</v>
      </c>
      <c r="C15" s="45" t="s">
        <v>181</v>
      </c>
      <c r="D15" s="45">
        <v>45</v>
      </c>
      <c r="E15" s="80" t="s">
        <v>3445</v>
      </c>
    </row>
    <row r="16" spans="1:5" ht="25.5" customHeight="1">
      <c r="A16" s="49" t="s">
        <v>2383</v>
      </c>
      <c r="B16" s="45" t="s">
        <v>186</v>
      </c>
      <c r="C16" s="45" t="s">
        <v>187</v>
      </c>
      <c r="D16" s="45">
        <v>36</v>
      </c>
      <c r="E16" s="80" t="s">
        <v>3446</v>
      </c>
    </row>
    <row r="17" spans="1:5" ht="25.5" customHeight="1">
      <c r="A17" s="49" t="s">
        <v>2383</v>
      </c>
      <c r="B17" s="45" t="s">
        <v>204</v>
      </c>
      <c r="C17" s="45" t="s">
        <v>205</v>
      </c>
      <c r="D17" s="45">
        <v>33</v>
      </c>
      <c r="E17" s="80" t="s">
        <v>3390</v>
      </c>
    </row>
    <row r="18" spans="1:5" ht="25.5" customHeight="1">
      <c r="A18" s="49" t="s">
        <v>2383</v>
      </c>
      <c r="B18" s="45" t="s">
        <v>1079</v>
      </c>
      <c r="C18" s="45" t="s">
        <v>3408</v>
      </c>
      <c r="D18" s="45">
        <v>15</v>
      </c>
      <c r="E18" s="61" t="s">
        <v>3409</v>
      </c>
    </row>
    <row r="19" spans="1:5" ht="25.5" customHeight="1">
      <c r="A19" s="49" t="s">
        <v>2383</v>
      </c>
      <c r="B19" s="45" t="s">
        <v>410</v>
      </c>
      <c r="C19" s="45" t="s">
        <v>3447</v>
      </c>
      <c r="D19" s="45">
        <v>23</v>
      </c>
      <c r="E19" s="80" t="s">
        <v>3448</v>
      </c>
    </row>
    <row r="20" spans="1:5" ht="25.5" customHeight="1">
      <c r="A20" s="49" t="s">
        <v>2383</v>
      </c>
      <c r="B20" s="45" t="s">
        <v>734</v>
      </c>
      <c r="C20" s="45" t="s">
        <v>3449</v>
      </c>
      <c r="D20" s="45">
        <v>22</v>
      </c>
      <c r="E20" s="80" t="s">
        <v>3450</v>
      </c>
    </row>
    <row r="21" spans="1:5" ht="25.5" customHeight="1">
      <c r="A21" s="49" t="s">
        <v>2383</v>
      </c>
      <c r="B21" s="45" t="s">
        <v>756</v>
      </c>
      <c r="C21" s="45" t="s">
        <v>3451</v>
      </c>
      <c r="D21" s="45">
        <v>19</v>
      </c>
      <c r="E21" s="80" t="s">
        <v>3452</v>
      </c>
    </row>
    <row r="22" spans="1:5" ht="25.5" customHeight="1">
      <c r="A22" s="51" t="s">
        <v>2406</v>
      </c>
      <c r="B22" s="45"/>
      <c r="C22" s="45"/>
      <c r="D22" s="45"/>
      <c r="E22" s="57"/>
    </row>
    <row r="23" spans="1:5" ht="25.5" customHeight="1">
      <c r="A23" s="51" t="s">
        <v>2406</v>
      </c>
      <c r="B23" s="45" t="s">
        <v>1771</v>
      </c>
      <c r="C23" s="45" t="s">
        <v>3411</v>
      </c>
      <c r="D23" s="45"/>
      <c r="E23" s="57"/>
    </row>
    <row r="24" spans="1:5" ht="25.5" customHeight="1">
      <c r="A24" s="51" t="s">
        <v>2406</v>
      </c>
      <c r="B24" s="45" t="s">
        <v>3453</v>
      </c>
      <c r="C24" s="45" t="s">
        <v>2462</v>
      </c>
      <c r="D24" s="45">
        <v>41</v>
      </c>
      <c r="E24" s="80" t="s">
        <v>3454</v>
      </c>
    </row>
    <row r="25" spans="1:5" ht="25.5" customHeight="1">
      <c r="A25" s="51" t="s">
        <v>2406</v>
      </c>
      <c r="B25" s="45" t="s">
        <v>280</v>
      </c>
      <c r="C25" s="45" t="s">
        <v>281</v>
      </c>
      <c r="D25" s="45">
        <v>26</v>
      </c>
      <c r="E25" s="80" t="s">
        <v>3389</v>
      </c>
    </row>
    <row r="26" spans="1:5" ht="25.5" customHeight="1">
      <c r="A26" s="51" t="s">
        <v>2406</v>
      </c>
      <c r="B26" s="45" t="s">
        <v>438</v>
      </c>
      <c r="C26" s="45" t="s">
        <v>439</v>
      </c>
      <c r="D26" s="45">
        <v>23</v>
      </c>
      <c r="E26" s="80" t="s">
        <v>3428</v>
      </c>
    </row>
    <row r="27" spans="1:5" ht="25.5" customHeight="1">
      <c r="A27" s="51" t="s">
        <v>2406</v>
      </c>
      <c r="B27" s="45" t="s">
        <v>3455</v>
      </c>
      <c r="C27" s="46" t="s">
        <v>3456</v>
      </c>
      <c r="D27" s="45"/>
      <c r="E27" s="57"/>
    </row>
    <row r="28" spans="1:5" ht="25.5" customHeight="1">
      <c r="A28" s="51" t="s">
        <v>2406</v>
      </c>
      <c r="B28" s="45" t="s">
        <v>690</v>
      </c>
      <c r="C28" s="45" t="s">
        <v>691</v>
      </c>
      <c r="D28" s="45">
        <v>19</v>
      </c>
      <c r="E28" s="80" t="s">
        <v>3457</v>
      </c>
    </row>
    <row r="29" spans="1:5" ht="25.5" customHeight="1">
      <c r="A29" s="51" t="s">
        <v>2406</v>
      </c>
      <c r="B29" s="45" t="s">
        <v>3458</v>
      </c>
      <c r="C29" s="45" t="s">
        <v>1248</v>
      </c>
      <c r="D29" s="45">
        <v>10</v>
      </c>
      <c r="E29" s="80" t="s">
        <v>3459</v>
      </c>
    </row>
    <row r="30" spans="1:5" ht="25.5" customHeight="1">
      <c r="A30" s="51" t="s">
        <v>2406</v>
      </c>
      <c r="B30" s="45" t="s">
        <v>112</v>
      </c>
      <c r="C30" s="45" t="s">
        <v>113</v>
      </c>
      <c r="D30" s="45">
        <v>68</v>
      </c>
      <c r="E30" s="80" t="s">
        <v>3416</v>
      </c>
    </row>
    <row r="31" spans="1:5" ht="25.5" customHeight="1">
      <c r="A31" s="51" t="s">
        <v>2406</v>
      </c>
      <c r="B31" s="45" t="s">
        <v>136</v>
      </c>
      <c r="C31" s="45" t="s">
        <v>3395</v>
      </c>
      <c r="D31" s="45">
        <v>54</v>
      </c>
      <c r="E31" s="80" t="s">
        <v>3396</v>
      </c>
    </row>
  </sheetData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4" r:id="rId21"/>
    <hyperlink ref="E25" r:id="rId22"/>
    <hyperlink ref="E26" r:id="rId23"/>
    <hyperlink ref="E28" r:id="rId24"/>
    <hyperlink ref="E29" r:id="rId25"/>
    <hyperlink ref="E30" r:id="rId26"/>
    <hyperlink ref="E31" r:id="rId27"/>
  </hyperlink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6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bestFit="1" customWidth="1"/>
    <col min="2" max="2" width="18" bestFit="1" customWidth="1"/>
    <col min="3" max="3" width="108" bestFit="1" customWidth="1"/>
    <col min="4" max="4" width="4.140625" customWidth="1"/>
    <col min="5" max="5" width="128.140625" style="1" bestFit="1" customWidth="1"/>
  </cols>
  <sheetData>
    <row r="1" spans="1:5" ht="25.5" customHeight="1">
      <c r="A1" s="54" t="s">
        <v>2359</v>
      </c>
      <c r="B1" s="54" t="s">
        <v>0</v>
      </c>
      <c r="C1" s="54" t="s">
        <v>2360</v>
      </c>
      <c r="D1" s="54" t="s">
        <v>2361</v>
      </c>
      <c r="E1" s="56" t="s">
        <v>2362</v>
      </c>
    </row>
    <row r="2" spans="1:5" ht="25.5" customHeight="1">
      <c r="A2" s="47" t="s">
        <v>2363</v>
      </c>
      <c r="B2" s="45" t="s">
        <v>28</v>
      </c>
      <c r="C2" s="45" t="s">
        <v>29</v>
      </c>
      <c r="D2" s="45">
        <v>87</v>
      </c>
      <c r="E2" s="57" t="s">
        <v>3460</v>
      </c>
    </row>
    <row r="3" spans="1:5" ht="25.5" customHeight="1">
      <c r="A3" s="47" t="s">
        <v>2363</v>
      </c>
      <c r="B3" s="45" t="s">
        <v>36</v>
      </c>
      <c r="C3" s="45" t="s">
        <v>3461</v>
      </c>
      <c r="D3" s="45">
        <v>60</v>
      </c>
      <c r="E3" s="57" t="s">
        <v>3462</v>
      </c>
    </row>
    <row r="4" spans="1:5" ht="25.5" customHeight="1">
      <c r="A4" s="47" t="s">
        <v>2363</v>
      </c>
      <c r="B4" s="45" t="s">
        <v>360</v>
      </c>
      <c r="C4" s="45" t="s">
        <v>3463</v>
      </c>
      <c r="D4" s="45">
        <v>16</v>
      </c>
      <c r="E4" s="57" t="s">
        <v>3464</v>
      </c>
    </row>
    <row r="5" spans="1:5" ht="25.5" customHeight="1">
      <c r="A5" s="47" t="s">
        <v>2363</v>
      </c>
      <c r="B5" s="45" t="s">
        <v>228</v>
      </c>
      <c r="C5" s="45" t="s">
        <v>229</v>
      </c>
      <c r="D5" s="45">
        <v>26</v>
      </c>
      <c r="E5" s="57" t="s">
        <v>3465</v>
      </c>
    </row>
    <row r="6" spans="1:5" ht="25.5" customHeight="1">
      <c r="A6" s="47" t="s">
        <v>2363</v>
      </c>
      <c r="B6" s="45" t="s">
        <v>376</v>
      </c>
      <c r="C6" s="45" t="s">
        <v>3466</v>
      </c>
      <c r="D6" s="45">
        <v>27</v>
      </c>
      <c r="E6" s="57" t="s">
        <v>3467</v>
      </c>
    </row>
    <row r="7" spans="1:5" ht="25.5" customHeight="1">
      <c r="A7" s="47" t="s">
        <v>2363</v>
      </c>
      <c r="B7" s="45" t="s">
        <v>3125</v>
      </c>
      <c r="C7" s="45" t="s">
        <v>3468</v>
      </c>
      <c r="D7" s="45">
        <v>28</v>
      </c>
      <c r="E7" s="57" t="s">
        <v>3469</v>
      </c>
    </row>
    <row r="8" spans="1:5" ht="25.5" customHeight="1">
      <c r="A8" s="47" t="s">
        <v>2363</v>
      </c>
      <c r="B8" s="45" t="s">
        <v>208</v>
      </c>
      <c r="C8" s="45" t="s">
        <v>3074</v>
      </c>
      <c r="D8" s="45">
        <v>46</v>
      </c>
      <c r="E8" s="57" t="s">
        <v>3470</v>
      </c>
    </row>
    <row r="9" spans="1:5" ht="25.5" customHeight="1">
      <c r="A9" s="47" t="s">
        <v>2363</v>
      </c>
      <c r="B9" s="45" t="s">
        <v>1237</v>
      </c>
      <c r="C9" s="45" t="s">
        <v>1238</v>
      </c>
      <c r="D9" s="45">
        <v>9</v>
      </c>
      <c r="E9" s="57" t="s">
        <v>3471</v>
      </c>
    </row>
    <row r="10" spans="1:5" ht="25.5" customHeight="1">
      <c r="A10" s="47" t="s">
        <v>2363</v>
      </c>
      <c r="B10" s="45" t="s">
        <v>472</v>
      </c>
      <c r="C10" s="45" t="s">
        <v>473</v>
      </c>
      <c r="D10" s="45">
        <v>20</v>
      </c>
      <c r="E10" s="57" t="s">
        <v>3472</v>
      </c>
    </row>
    <row r="11" spans="1:5" ht="25.5" customHeight="1">
      <c r="A11" s="47" t="s">
        <v>2363</v>
      </c>
      <c r="B11" s="45" t="s">
        <v>3473</v>
      </c>
      <c r="C11" s="45" t="s">
        <v>1003</v>
      </c>
      <c r="D11" s="45">
        <v>15</v>
      </c>
      <c r="E11" s="57" t="s">
        <v>3474</v>
      </c>
    </row>
    <row r="12" spans="1:5" ht="25.5" customHeight="1">
      <c r="A12" s="49" t="s">
        <v>2383</v>
      </c>
      <c r="B12" s="45" t="s">
        <v>3120</v>
      </c>
      <c r="C12" s="45" t="s">
        <v>3475</v>
      </c>
      <c r="D12" s="45">
        <v>33</v>
      </c>
      <c r="E12" s="57" t="s">
        <v>3476</v>
      </c>
    </row>
    <row r="13" spans="1:5" ht="25.5" customHeight="1">
      <c r="A13" s="49" t="s">
        <v>2383</v>
      </c>
      <c r="B13" s="45" t="s">
        <v>442</v>
      </c>
      <c r="C13" s="45" t="s">
        <v>3477</v>
      </c>
      <c r="D13" s="45">
        <v>26</v>
      </c>
      <c r="E13" s="57" t="s">
        <v>3478</v>
      </c>
    </row>
    <row r="14" spans="1:5" ht="25.5" customHeight="1">
      <c r="A14" s="49" t="s">
        <v>2383</v>
      </c>
      <c r="B14" s="45" t="s">
        <v>2860</v>
      </c>
      <c r="C14" s="45" t="s">
        <v>3479</v>
      </c>
      <c r="D14" s="45">
        <v>40</v>
      </c>
      <c r="E14" s="57" t="s">
        <v>3480</v>
      </c>
    </row>
    <row r="15" spans="1:5" ht="25.5" customHeight="1">
      <c r="A15" s="49" t="s">
        <v>2383</v>
      </c>
      <c r="B15" s="45" t="s">
        <v>3105</v>
      </c>
      <c r="C15" s="45" t="s">
        <v>3481</v>
      </c>
      <c r="D15" s="45">
        <v>33</v>
      </c>
      <c r="E15" s="57" t="s">
        <v>3482</v>
      </c>
    </row>
    <row r="16" spans="1:5" ht="25.5" customHeight="1">
      <c r="A16" s="49" t="s">
        <v>2383</v>
      </c>
      <c r="B16" s="45" t="s">
        <v>3483</v>
      </c>
      <c r="C16" s="45" t="s">
        <v>3484</v>
      </c>
      <c r="D16" s="45">
        <v>57</v>
      </c>
      <c r="E16" s="57" t="s">
        <v>3485</v>
      </c>
    </row>
    <row r="17" spans="1:5" ht="25.5" customHeight="1">
      <c r="A17" s="49" t="s">
        <v>2383</v>
      </c>
      <c r="B17" s="45" t="s">
        <v>1223</v>
      </c>
      <c r="C17" s="45" t="s">
        <v>3486</v>
      </c>
      <c r="D17" s="45">
        <v>24</v>
      </c>
      <c r="E17" s="57" t="s">
        <v>3487</v>
      </c>
    </row>
    <row r="18" spans="1:5" ht="25.5" customHeight="1">
      <c r="A18" s="49" t="s">
        <v>2383</v>
      </c>
      <c r="B18" s="45" t="s">
        <v>2870</v>
      </c>
      <c r="C18" s="45" t="s">
        <v>2871</v>
      </c>
      <c r="D18" s="45">
        <v>24</v>
      </c>
      <c r="E18" s="57" t="s">
        <v>3488</v>
      </c>
    </row>
    <row r="19" spans="1:5" ht="25.5" customHeight="1">
      <c r="A19" s="49" t="s">
        <v>2383</v>
      </c>
      <c r="B19" s="45" t="s">
        <v>292</v>
      </c>
      <c r="C19" s="45" t="s">
        <v>3489</v>
      </c>
      <c r="D19" s="45">
        <v>14</v>
      </c>
      <c r="E19" s="57" t="s">
        <v>3490</v>
      </c>
    </row>
    <row r="20" spans="1:5" ht="25.5" customHeight="1">
      <c r="A20" s="49" t="s">
        <v>2383</v>
      </c>
      <c r="B20" s="45" t="s">
        <v>3491</v>
      </c>
      <c r="C20" s="45" t="s">
        <v>181</v>
      </c>
      <c r="D20" s="45">
        <v>45</v>
      </c>
      <c r="E20" s="57" t="s">
        <v>3492</v>
      </c>
    </row>
    <row r="21" spans="1:5" ht="25.5" customHeight="1">
      <c r="A21" s="49" t="s">
        <v>2383</v>
      </c>
      <c r="B21" s="45" t="s">
        <v>882</v>
      </c>
      <c r="C21" s="45" t="s">
        <v>3493</v>
      </c>
      <c r="D21" s="45">
        <v>17</v>
      </c>
      <c r="E21" s="57" t="s">
        <v>3494</v>
      </c>
    </row>
    <row r="22" spans="1:5" ht="25.5" customHeight="1">
      <c r="A22" s="51" t="s">
        <v>2406</v>
      </c>
      <c r="B22" s="45" t="s">
        <v>566</v>
      </c>
      <c r="C22" s="45" t="s">
        <v>567</v>
      </c>
      <c r="D22" s="45">
        <v>17</v>
      </c>
      <c r="E22" s="57" t="s">
        <v>3495</v>
      </c>
    </row>
    <row r="23" spans="1:5" ht="25.5" customHeight="1">
      <c r="A23" s="51" t="s">
        <v>2406</v>
      </c>
      <c r="B23" s="45" t="s">
        <v>3114</v>
      </c>
      <c r="C23" s="45" t="s">
        <v>1174</v>
      </c>
      <c r="D23" s="45">
        <v>29</v>
      </c>
      <c r="E23" s="57" t="s">
        <v>3496</v>
      </c>
    </row>
    <row r="24" spans="1:5" ht="25.5" customHeight="1">
      <c r="A24" s="51" t="s">
        <v>2406</v>
      </c>
      <c r="B24" s="45" t="s">
        <v>818</v>
      </c>
      <c r="C24" s="45" t="s">
        <v>3497</v>
      </c>
      <c r="D24" s="45">
        <v>18</v>
      </c>
      <c r="E24" s="57" t="s">
        <v>3498</v>
      </c>
    </row>
    <row r="25" spans="1:5" ht="25.5" customHeight="1">
      <c r="A25" s="51" t="s">
        <v>2406</v>
      </c>
      <c r="B25" s="45" t="s">
        <v>3499</v>
      </c>
      <c r="C25" s="45" t="s">
        <v>3500</v>
      </c>
      <c r="D25" s="45">
        <v>14</v>
      </c>
      <c r="E25" s="57" t="s">
        <v>3501</v>
      </c>
    </row>
    <row r="26" spans="1:5" ht="25.5" customHeight="1">
      <c r="A26" s="51" t="s">
        <v>2406</v>
      </c>
      <c r="B26" s="45" t="s">
        <v>1459</v>
      </c>
      <c r="C26" s="45" t="s">
        <v>1460</v>
      </c>
      <c r="D26" s="45">
        <v>18</v>
      </c>
      <c r="E26" s="57" t="s">
        <v>3502</v>
      </c>
    </row>
    <row r="27" spans="1:5" ht="25.5" customHeight="1">
      <c r="A27" s="51" t="s">
        <v>2406</v>
      </c>
      <c r="B27" s="45" t="s">
        <v>874</v>
      </c>
      <c r="C27" s="45" t="s">
        <v>3503</v>
      </c>
      <c r="D27" s="45">
        <v>20</v>
      </c>
      <c r="E27" s="57" t="s">
        <v>3504</v>
      </c>
    </row>
    <row r="28" spans="1:5" ht="25.5" customHeight="1">
      <c r="A28" s="51" t="s">
        <v>2406</v>
      </c>
      <c r="B28" s="45" t="s">
        <v>3505</v>
      </c>
      <c r="C28" s="45" t="s">
        <v>3506</v>
      </c>
      <c r="D28" s="45">
        <v>12</v>
      </c>
      <c r="E28" s="57" t="s">
        <v>3507</v>
      </c>
    </row>
    <row r="29" spans="1:5" ht="25.5" customHeight="1">
      <c r="A29" s="51" t="s">
        <v>2406</v>
      </c>
      <c r="B29" s="45" t="s">
        <v>1523</v>
      </c>
      <c r="C29" s="45" t="s">
        <v>3508</v>
      </c>
      <c r="D29" s="45">
        <v>7</v>
      </c>
      <c r="E29" s="57" t="s">
        <v>3509</v>
      </c>
    </row>
    <row r="30" spans="1:5" ht="25.5" customHeight="1">
      <c r="A30" s="51" t="s">
        <v>2406</v>
      </c>
      <c r="B30" s="45" t="s">
        <v>1377</v>
      </c>
      <c r="C30" s="45" t="s">
        <v>1378</v>
      </c>
      <c r="D30" s="45">
        <v>10</v>
      </c>
      <c r="E30" s="57" t="s">
        <v>3510</v>
      </c>
    </row>
    <row r="31" spans="1:5" ht="25.5" customHeight="1">
      <c r="A31" s="51" t="s">
        <v>2406</v>
      </c>
      <c r="B31" s="45" t="s">
        <v>3511</v>
      </c>
      <c r="C31" s="45" t="s">
        <v>3512</v>
      </c>
      <c r="D31" s="45">
        <v>24</v>
      </c>
      <c r="E31" s="57" t="s">
        <v>3513</v>
      </c>
    </row>
    <row r="32" spans="1:5" ht="25.5" customHeight="1">
      <c r="A32" s="51" t="s">
        <v>2406</v>
      </c>
      <c r="B32" s="45" t="s">
        <v>2021</v>
      </c>
      <c r="C32" s="45" t="s">
        <v>3514</v>
      </c>
      <c r="D32" s="45"/>
      <c r="E32" s="57"/>
    </row>
    <row r="33" spans="1:5" ht="25.5" customHeight="1">
      <c r="A33" s="51" t="s">
        <v>2406</v>
      </c>
      <c r="B33" s="45" t="s">
        <v>450</v>
      </c>
      <c r="C33" s="45" t="s">
        <v>3515</v>
      </c>
      <c r="D33" s="45">
        <v>25</v>
      </c>
      <c r="E33" s="57" t="s">
        <v>3516</v>
      </c>
    </row>
    <row r="34" spans="1:5" ht="25.5" customHeight="1">
      <c r="A34" s="51" t="s">
        <v>2406</v>
      </c>
      <c r="B34" s="45" t="s">
        <v>3517</v>
      </c>
      <c r="C34" s="45" t="s">
        <v>2024</v>
      </c>
      <c r="D34" s="45"/>
      <c r="E34" s="57"/>
    </row>
    <row r="35" spans="1:5" ht="25.5" customHeight="1">
      <c r="A35" s="51" t="s">
        <v>2406</v>
      </c>
      <c r="B35" s="45" t="s">
        <v>182</v>
      </c>
      <c r="C35" s="45" t="s">
        <v>183</v>
      </c>
      <c r="D35" s="45">
        <v>28</v>
      </c>
      <c r="E35" s="57" t="s">
        <v>3518</v>
      </c>
    </row>
    <row r="36" spans="1:5" ht="25.5" customHeight="1">
      <c r="A36" s="51" t="s">
        <v>2406</v>
      </c>
      <c r="B36" s="45" t="s">
        <v>3069</v>
      </c>
      <c r="C36" s="45" t="s">
        <v>3070</v>
      </c>
      <c r="D36" s="45">
        <v>18</v>
      </c>
      <c r="E36" s="57" t="s">
        <v>3519</v>
      </c>
    </row>
    <row r="37" spans="1:5" ht="25.5" customHeight="1">
      <c r="A37" s="51" t="s">
        <v>2406</v>
      </c>
      <c r="B37" s="45" t="s">
        <v>660</v>
      </c>
      <c r="C37" s="45" t="s">
        <v>3520</v>
      </c>
      <c r="D37" s="45">
        <v>13</v>
      </c>
      <c r="E37" s="57" t="s">
        <v>3521</v>
      </c>
    </row>
    <row r="38" spans="1:5" ht="25.5" customHeight="1">
      <c r="A38" s="51" t="s">
        <v>2406</v>
      </c>
      <c r="B38" s="45" t="s">
        <v>3522</v>
      </c>
      <c r="C38" s="45" t="s">
        <v>3523</v>
      </c>
      <c r="D38" s="45">
        <v>11</v>
      </c>
      <c r="E38" s="57" t="s">
        <v>3524</v>
      </c>
    </row>
    <row r="39" spans="1:5" ht="25.5" customHeight="1">
      <c r="A39" s="51" t="s">
        <v>2406</v>
      </c>
      <c r="B39" s="45" t="s">
        <v>3185</v>
      </c>
      <c r="C39" s="45" t="s">
        <v>3525</v>
      </c>
      <c r="D39" s="45">
        <v>11</v>
      </c>
      <c r="E39" s="57" t="s">
        <v>3526</v>
      </c>
    </row>
    <row r="40" spans="1:5" ht="25.5" customHeight="1">
      <c r="A40" s="51" t="s">
        <v>2406</v>
      </c>
      <c r="B40" s="45" t="s">
        <v>3165</v>
      </c>
      <c r="C40" s="45" t="s">
        <v>3527</v>
      </c>
      <c r="D40" s="45">
        <v>17</v>
      </c>
      <c r="E40" s="57" t="s">
        <v>3528</v>
      </c>
    </row>
    <row r="41" spans="1:5" ht="25.5" customHeight="1">
      <c r="A41" s="51" t="s">
        <v>2406</v>
      </c>
      <c r="B41" s="45" t="s">
        <v>3529</v>
      </c>
      <c r="C41" s="45" t="s">
        <v>3530</v>
      </c>
      <c r="D41" s="45">
        <v>15</v>
      </c>
      <c r="E41" s="57" t="s">
        <v>3531</v>
      </c>
    </row>
    <row r="42" spans="1:5" ht="25.5" customHeight="1">
      <c r="A42" s="51" t="s">
        <v>2406</v>
      </c>
      <c r="B42" s="45" t="s">
        <v>74</v>
      </c>
      <c r="C42" s="45" t="s">
        <v>75</v>
      </c>
      <c r="D42" s="45">
        <v>40</v>
      </c>
      <c r="E42" s="57" t="s">
        <v>3532</v>
      </c>
    </row>
    <row r="43" spans="1:5" ht="25.5" customHeight="1">
      <c r="A43" s="51" t="s">
        <v>2406</v>
      </c>
      <c r="B43" s="45" t="s">
        <v>434</v>
      </c>
      <c r="C43" s="45" t="s">
        <v>3533</v>
      </c>
      <c r="D43" s="45">
        <v>23</v>
      </c>
      <c r="E43" s="57" t="s">
        <v>3534</v>
      </c>
    </row>
    <row r="44" spans="1:5" ht="25.5" customHeight="1">
      <c r="A44" s="51" t="s">
        <v>2406</v>
      </c>
      <c r="B44" s="45" t="s">
        <v>1651</v>
      </c>
      <c r="C44" s="45" t="s">
        <v>3535</v>
      </c>
      <c r="D44" s="45">
        <v>18</v>
      </c>
      <c r="E44" s="57" t="s">
        <v>3536</v>
      </c>
    </row>
    <row r="45" spans="1:5" ht="25.5" customHeight="1">
      <c r="A45" s="51" t="s">
        <v>2406</v>
      </c>
      <c r="B45" s="50" t="s">
        <v>616</v>
      </c>
      <c r="C45" s="45" t="s">
        <v>617</v>
      </c>
      <c r="D45" s="45">
        <v>15</v>
      </c>
      <c r="E45" s="57" t="s">
        <v>3537</v>
      </c>
    </row>
    <row r="46" spans="1:5" ht="25.5" customHeight="1">
      <c r="A46" s="51" t="s">
        <v>2406</v>
      </c>
      <c r="B46" s="45" t="s">
        <v>1413</v>
      </c>
      <c r="C46" s="45" t="s">
        <v>1414</v>
      </c>
      <c r="D46" s="45">
        <v>11</v>
      </c>
      <c r="E46" s="57" t="s">
        <v>3538</v>
      </c>
    </row>
    <row r="47" spans="1:5" ht="25.5" customHeight="1">
      <c r="A47" s="51" t="s">
        <v>2406</v>
      </c>
      <c r="B47" s="45" t="s">
        <v>1423</v>
      </c>
      <c r="C47" s="45" t="s">
        <v>3539</v>
      </c>
      <c r="D47" s="45">
        <v>8</v>
      </c>
      <c r="E47" s="57" t="s">
        <v>3540</v>
      </c>
    </row>
    <row r="48" spans="1:5" ht="25.5" customHeight="1">
      <c r="A48" s="51" t="s">
        <v>2406</v>
      </c>
      <c r="B48" s="50" t="s">
        <v>902</v>
      </c>
      <c r="C48" s="45" t="s">
        <v>903</v>
      </c>
      <c r="D48" s="45">
        <v>16</v>
      </c>
      <c r="E48" s="57" t="s">
        <v>3541</v>
      </c>
    </row>
    <row r="49" spans="1:5" ht="25.5" customHeight="1">
      <c r="A49" s="51" t="s">
        <v>2406</v>
      </c>
      <c r="B49" s="45" t="s">
        <v>950</v>
      </c>
      <c r="C49" s="45" t="s">
        <v>951</v>
      </c>
      <c r="D49" s="45">
        <v>15</v>
      </c>
      <c r="E49" s="57" t="s">
        <v>3542</v>
      </c>
    </row>
    <row r="50" spans="1:5" ht="25.5" customHeight="1">
      <c r="A50" s="51" t="s">
        <v>2406</v>
      </c>
      <c r="B50" s="45" t="s">
        <v>1391</v>
      </c>
      <c r="C50" s="45" t="s">
        <v>3543</v>
      </c>
      <c r="D50" s="45">
        <v>9</v>
      </c>
      <c r="E50" s="57" t="s">
        <v>3471</v>
      </c>
    </row>
    <row r="51" spans="1:5" ht="25.5" customHeight="1">
      <c r="A51" s="51" t="s">
        <v>2406</v>
      </c>
      <c r="B51" s="45" t="s">
        <v>366</v>
      </c>
      <c r="C51" s="45" t="s">
        <v>3544</v>
      </c>
      <c r="D51" s="45">
        <v>23</v>
      </c>
      <c r="E51" s="57" t="s">
        <v>3545</v>
      </c>
    </row>
    <row r="52" spans="1:5" ht="25.5" customHeight="1">
      <c r="A52" s="51" t="s">
        <v>2406</v>
      </c>
      <c r="B52" s="50" t="s">
        <v>3546</v>
      </c>
      <c r="C52" s="45" t="s">
        <v>589</v>
      </c>
      <c r="D52" s="45">
        <v>15</v>
      </c>
      <c r="E52" s="57" t="s">
        <v>3547</v>
      </c>
    </row>
    <row r="53" spans="1:5" ht="25.5" customHeight="1">
      <c r="A53" s="51" t="s">
        <v>2406</v>
      </c>
      <c r="B53" s="45" t="s">
        <v>570</v>
      </c>
      <c r="C53" s="45" t="s">
        <v>571</v>
      </c>
      <c r="D53" s="45">
        <v>14</v>
      </c>
      <c r="E53" s="57" t="s">
        <v>3548</v>
      </c>
    </row>
    <row r="54" spans="1:5" ht="25.5" customHeight="1">
      <c r="A54" s="51" t="s">
        <v>2406</v>
      </c>
      <c r="B54" s="50" t="s">
        <v>1000</v>
      </c>
      <c r="C54" s="45" t="s">
        <v>1001</v>
      </c>
      <c r="D54" s="45">
        <v>13</v>
      </c>
      <c r="E54" s="57" t="s">
        <v>3549</v>
      </c>
    </row>
    <row r="55" spans="1:5" ht="25.5" customHeight="1">
      <c r="A55" s="51" t="s">
        <v>2406</v>
      </c>
      <c r="B55" s="45" t="s">
        <v>688</v>
      </c>
      <c r="C55" s="45" t="s">
        <v>689</v>
      </c>
      <c r="D55" s="45">
        <v>18</v>
      </c>
      <c r="E55" s="57" t="s">
        <v>3550</v>
      </c>
    </row>
    <row r="56" spans="1:5" ht="25.5" customHeight="1">
      <c r="A56" s="51" t="s">
        <v>2406</v>
      </c>
      <c r="B56" s="45" t="s">
        <v>1121</v>
      </c>
      <c r="C56" s="45" t="s">
        <v>1122</v>
      </c>
      <c r="D56" s="45">
        <v>11</v>
      </c>
      <c r="E56" s="57" t="s">
        <v>3551</v>
      </c>
    </row>
    <row r="57" spans="1:5" ht="25.5" customHeight="1">
      <c r="A57" s="51" t="s">
        <v>2406</v>
      </c>
      <c r="B57" s="50" t="s">
        <v>260</v>
      </c>
      <c r="C57" s="45" t="s">
        <v>261</v>
      </c>
      <c r="D57" s="45">
        <v>24</v>
      </c>
      <c r="E57" s="57" t="s">
        <v>3552</v>
      </c>
    </row>
    <row r="58" spans="1:5" ht="25.5" customHeight="1">
      <c r="A58" s="51" t="s">
        <v>2406</v>
      </c>
      <c r="B58" s="45" t="s">
        <v>316</v>
      </c>
      <c r="C58" s="45" t="s">
        <v>317</v>
      </c>
      <c r="D58" s="45">
        <v>0</v>
      </c>
      <c r="E58" s="57"/>
    </row>
    <row r="59" spans="1:5" ht="25.5" customHeight="1">
      <c r="A59" s="51" t="s">
        <v>2406</v>
      </c>
      <c r="B59" s="50" t="s">
        <v>1661</v>
      </c>
      <c r="C59" s="45" t="s">
        <v>1662</v>
      </c>
      <c r="D59" s="45">
        <v>10</v>
      </c>
      <c r="E59" s="61" t="s">
        <v>3553</v>
      </c>
    </row>
    <row r="60" spans="1:5" ht="25.5" customHeight="1">
      <c r="A60" s="51" t="s">
        <v>2406</v>
      </c>
      <c r="B60" s="45" t="s">
        <v>3105</v>
      </c>
      <c r="C60" s="45" t="s">
        <v>3554</v>
      </c>
      <c r="D60" s="45"/>
      <c r="E60" s="57"/>
    </row>
    <row r="61" spans="1:5" ht="25.5" customHeight="1">
      <c r="A61" s="51" t="s">
        <v>2406</v>
      </c>
      <c r="B61" s="45" t="s">
        <v>1727</v>
      </c>
      <c r="C61" s="45" t="s">
        <v>1728</v>
      </c>
      <c r="D61" s="45"/>
      <c r="E61" s="57"/>
    </row>
    <row r="62" spans="1:5" ht="25.5" customHeight="1">
      <c r="A62" s="51" t="s">
        <v>2406</v>
      </c>
      <c r="B62" s="45" t="s">
        <v>476</v>
      </c>
      <c r="C62" s="45" t="s">
        <v>477</v>
      </c>
      <c r="D62" s="45">
        <v>14</v>
      </c>
      <c r="E62" s="57" t="s">
        <v>3555</v>
      </c>
    </row>
    <row r="63" spans="1:5" ht="25.5" customHeight="1">
      <c r="A63" s="51" t="s">
        <v>2406</v>
      </c>
      <c r="B63" s="45" t="s">
        <v>3556</v>
      </c>
      <c r="C63" s="45" t="s">
        <v>3557</v>
      </c>
      <c r="D63" s="45">
        <v>12</v>
      </c>
      <c r="E63" s="57" t="s">
        <v>3558</v>
      </c>
    </row>
    <row r="64" spans="1:5" ht="25.5" customHeight="1">
      <c r="A64" s="51" t="s">
        <v>2406</v>
      </c>
      <c r="B64" s="45" t="s">
        <v>488</v>
      </c>
      <c r="C64" s="45" t="s">
        <v>489</v>
      </c>
      <c r="D64" s="45">
        <v>17</v>
      </c>
      <c r="E64" s="57" t="s">
        <v>3559</v>
      </c>
    </row>
    <row r="65" spans="1:5" ht="25.5" customHeight="1">
      <c r="A65" s="51" t="s">
        <v>2406</v>
      </c>
      <c r="B65" s="45" t="s">
        <v>1371</v>
      </c>
      <c r="C65" s="45" t="s">
        <v>1372</v>
      </c>
      <c r="D65" s="45"/>
      <c r="E65" s="57"/>
    </row>
    <row r="66" spans="1:5" ht="25.5" customHeight="1">
      <c r="A66" s="51" t="s">
        <v>2406</v>
      </c>
      <c r="B66" s="45" t="s">
        <v>1203</v>
      </c>
      <c r="C66" s="45" t="s">
        <v>1204</v>
      </c>
      <c r="D66" s="45">
        <v>14</v>
      </c>
      <c r="E66" s="57" t="s">
        <v>3560</v>
      </c>
    </row>
    <row r="67" spans="1:5" ht="25.5" customHeight="1">
      <c r="A67" s="51" t="s">
        <v>2406</v>
      </c>
      <c r="B67" s="45" t="s">
        <v>818</v>
      </c>
      <c r="C67" s="45" t="s">
        <v>819</v>
      </c>
      <c r="D67" s="45">
        <v>20</v>
      </c>
      <c r="E67" s="57" t="s">
        <v>3561</v>
      </c>
    </row>
    <row r="68" spans="1:5" ht="25.5" customHeight="1">
      <c r="A68" s="51" t="s">
        <v>2406</v>
      </c>
      <c r="B68" s="50" t="s">
        <v>1963</v>
      </c>
      <c r="C68" s="45" t="s">
        <v>1964</v>
      </c>
      <c r="D68" s="45">
        <v>15</v>
      </c>
      <c r="E68" s="57" t="s">
        <v>3542</v>
      </c>
    </row>
    <row r="69" spans="1:5" ht="25.5" customHeight="1">
      <c r="A69" s="51" t="s">
        <v>2406</v>
      </c>
      <c r="B69" s="45" t="s">
        <v>390</v>
      </c>
      <c r="C69" s="45" t="s">
        <v>391</v>
      </c>
      <c r="D69" s="45">
        <v>31</v>
      </c>
      <c r="E69" s="57" t="s">
        <v>3562</v>
      </c>
    </row>
    <row r="70" spans="1:5" ht="25.5" customHeight="1">
      <c r="A70" s="51" t="s">
        <v>2406</v>
      </c>
      <c r="B70" s="45" t="s">
        <v>3563</v>
      </c>
      <c r="C70" s="45" t="s">
        <v>3564</v>
      </c>
      <c r="D70" s="45"/>
      <c r="E70" s="57"/>
    </row>
    <row r="71" spans="1:5" ht="25.5" customHeight="1">
      <c r="A71" s="51" t="s">
        <v>2406</v>
      </c>
      <c r="B71" s="45" t="s">
        <v>1209</v>
      </c>
      <c r="C71" s="45" t="s">
        <v>3565</v>
      </c>
      <c r="D71" s="45">
        <v>7</v>
      </c>
      <c r="E71" s="57" t="s">
        <v>3566</v>
      </c>
    </row>
    <row r="72" spans="1:5" ht="25.5" customHeight="1">
      <c r="A72" s="51" t="s">
        <v>2406</v>
      </c>
      <c r="B72" s="50" t="s">
        <v>1421</v>
      </c>
      <c r="C72" s="45" t="s">
        <v>1422</v>
      </c>
      <c r="D72" s="45">
        <v>15</v>
      </c>
      <c r="E72" s="57" t="s">
        <v>3567</v>
      </c>
    </row>
    <row r="73" spans="1:5" ht="25.5" customHeight="1">
      <c r="A73" s="51" t="s">
        <v>2406</v>
      </c>
      <c r="B73" s="45" t="s">
        <v>1016</v>
      </c>
      <c r="C73" s="45" t="s">
        <v>3568</v>
      </c>
      <c r="D73" s="45">
        <v>17</v>
      </c>
      <c r="E73" s="57" t="s">
        <v>3569</v>
      </c>
    </row>
    <row r="74" spans="1:5" ht="25.5" customHeight="1">
      <c r="A74" s="51" t="s">
        <v>2406</v>
      </c>
      <c r="B74" s="45" t="s">
        <v>3570</v>
      </c>
      <c r="C74" s="45" t="s">
        <v>3571</v>
      </c>
      <c r="D74" s="45">
        <v>21</v>
      </c>
      <c r="E74" s="57" t="s">
        <v>3572</v>
      </c>
    </row>
    <row r="75" spans="1:5" ht="25.5" customHeight="1">
      <c r="A75" s="51" t="s">
        <v>2406</v>
      </c>
      <c r="B75" s="45" t="s">
        <v>1478</v>
      </c>
      <c r="C75" s="45" t="s">
        <v>1478</v>
      </c>
      <c r="D75" s="45">
        <v>16</v>
      </c>
      <c r="E75" s="57" t="s">
        <v>3573</v>
      </c>
    </row>
    <row r="76" spans="1:5" ht="25.5" customHeight="1">
      <c r="A76" s="51" t="s">
        <v>2406</v>
      </c>
      <c r="B76" s="45" t="s">
        <v>1453</v>
      </c>
      <c r="C76" s="45" t="s">
        <v>3574</v>
      </c>
      <c r="D76" s="45">
        <v>11</v>
      </c>
      <c r="E76" s="57" t="s">
        <v>3575</v>
      </c>
    </row>
    <row r="77" spans="1:5" ht="25.5" customHeight="1">
      <c r="A77" s="51" t="s">
        <v>2406</v>
      </c>
      <c r="B77" s="45" t="s">
        <v>3216</v>
      </c>
      <c r="C77" s="45" t="s">
        <v>3217</v>
      </c>
      <c r="D77" s="45"/>
      <c r="E77" s="57"/>
    </row>
    <row r="78" spans="1:5" ht="25.5" customHeight="1">
      <c r="A78" s="51" t="s">
        <v>2406</v>
      </c>
      <c r="B78" s="45" t="s">
        <v>3576</v>
      </c>
      <c r="C78" s="45" t="s">
        <v>3577</v>
      </c>
      <c r="D78" s="45"/>
      <c r="E78" s="57"/>
    </row>
    <row r="79" spans="1:5" ht="25.5" customHeight="1">
      <c r="A79" s="51" t="s">
        <v>2406</v>
      </c>
      <c r="B79" s="45" t="s">
        <v>3425</v>
      </c>
      <c r="C79" s="45" t="s">
        <v>3578</v>
      </c>
      <c r="D79" s="45">
        <v>18</v>
      </c>
      <c r="E79" s="57" t="s">
        <v>3579</v>
      </c>
    </row>
    <row r="80" spans="1:5" ht="25.5" customHeight="1">
      <c r="A80" s="51" t="s">
        <v>2406</v>
      </c>
      <c r="B80" s="45" t="s">
        <v>3580</v>
      </c>
      <c r="C80" s="45" t="s">
        <v>3581</v>
      </c>
      <c r="D80" s="45">
        <v>13</v>
      </c>
      <c r="E80" s="57" t="s">
        <v>3582</v>
      </c>
    </row>
    <row r="81" spans="1:5" ht="25.5" customHeight="1">
      <c r="A81" s="51" t="s">
        <v>2406</v>
      </c>
      <c r="B81" s="45" t="s">
        <v>3084</v>
      </c>
      <c r="C81" s="45" t="s">
        <v>3085</v>
      </c>
      <c r="D81" s="45"/>
      <c r="E81" s="57"/>
    </row>
    <row r="82" spans="1:5" ht="25.5" customHeight="1">
      <c r="A82" s="51" t="s">
        <v>2406</v>
      </c>
      <c r="B82" s="45" t="s">
        <v>3210</v>
      </c>
      <c r="C82" s="45" t="s">
        <v>1366</v>
      </c>
      <c r="D82" s="45"/>
      <c r="E82" s="57"/>
    </row>
    <row r="83" spans="1:5" ht="25.5" customHeight="1">
      <c r="A83" s="51" t="s">
        <v>2406</v>
      </c>
      <c r="B83" s="45" t="s">
        <v>1401</v>
      </c>
      <c r="C83" s="45" t="s">
        <v>1402</v>
      </c>
      <c r="D83" s="45"/>
      <c r="E83" s="57"/>
    </row>
    <row r="84" spans="1:5" ht="25.5" customHeight="1">
      <c r="A84" s="51" t="s">
        <v>2406</v>
      </c>
      <c r="B84" s="45" t="s">
        <v>822</v>
      </c>
      <c r="C84" s="45" t="s">
        <v>823</v>
      </c>
      <c r="D84" s="45">
        <v>19</v>
      </c>
      <c r="E84" s="57" t="s">
        <v>3583</v>
      </c>
    </row>
    <row r="85" spans="1:5" ht="25.5" customHeight="1">
      <c r="A85" s="51" t="s">
        <v>2406</v>
      </c>
      <c r="B85" s="45" t="s">
        <v>590</v>
      </c>
      <c r="C85" s="45" t="s">
        <v>3584</v>
      </c>
      <c r="D85" s="45">
        <v>10</v>
      </c>
      <c r="E85" s="57" t="s">
        <v>3585</v>
      </c>
    </row>
    <row r="86" spans="1:5" ht="25.5" customHeight="1">
      <c r="A86" s="51" t="s">
        <v>2406</v>
      </c>
      <c r="B86" s="45" t="s">
        <v>216</v>
      </c>
      <c r="C86" s="45" t="s">
        <v>3586</v>
      </c>
      <c r="D86" s="45">
        <v>17</v>
      </c>
      <c r="E86" s="57" t="s">
        <v>3587</v>
      </c>
    </row>
    <row r="87" spans="1:5" ht="25.5" customHeight="1">
      <c r="A87" s="51" t="s">
        <v>2406</v>
      </c>
      <c r="B87" s="50" t="s">
        <v>1643</v>
      </c>
      <c r="C87" s="45" t="s">
        <v>1644</v>
      </c>
      <c r="D87" s="45"/>
      <c r="E87" s="57"/>
    </row>
    <row r="88" spans="1:5" ht="25.5" customHeight="1">
      <c r="A88" s="51" t="s">
        <v>2406</v>
      </c>
      <c r="B88" s="50" t="s">
        <v>1847</v>
      </c>
      <c r="C88" s="45" t="s">
        <v>1848</v>
      </c>
      <c r="D88" s="45"/>
      <c r="E88" s="57"/>
    </row>
    <row r="89" spans="1:5" ht="25.5" customHeight="1">
      <c r="A89" s="51" t="s">
        <v>2406</v>
      </c>
      <c r="B89" s="45" t="s">
        <v>1131</v>
      </c>
      <c r="C89" s="45" t="s">
        <v>3588</v>
      </c>
      <c r="D89" s="45"/>
      <c r="E89" s="57"/>
    </row>
    <row r="90" spans="1:5" ht="25.5" customHeight="1">
      <c r="A90" s="51" t="s">
        <v>2406</v>
      </c>
      <c r="B90" s="50" t="s">
        <v>1575</v>
      </c>
      <c r="C90" s="45" t="s">
        <v>3589</v>
      </c>
      <c r="D90" s="45"/>
      <c r="E90" s="57"/>
    </row>
    <row r="91" spans="1:5" ht="25.5" customHeight="1">
      <c r="A91" s="51" t="s">
        <v>2406</v>
      </c>
      <c r="B91" s="45" t="s">
        <v>1495</v>
      </c>
      <c r="C91" s="45" t="s">
        <v>3590</v>
      </c>
      <c r="D91" s="45"/>
      <c r="E91" s="57"/>
    </row>
    <row r="92" spans="1:5" ht="25.5" customHeight="1">
      <c r="A92" s="51" t="s">
        <v>2406</v>
      </c>
      <c r="B92" s="45" t="s">
        <v>3591</v>
      </c>
      <c r="C92" s="45" t="s">
        <v>3592</v>
      </c>
      <c r="D92" s="45"/>
      <c r="E92" s="57"/>
    </row>
    <row r="93" spans="1:5" ht="25.5" customHeight="1">
      <c r="A93" s="51" t="s">
        <v>2406</v>
      </c>
      <c r="B93" s="45" t="s">
        <v>3593</v>
      </c>
      <c r="C93" s="45" t="s">
        <v>3594</v>
      </c>
      <c r="D93" s="45"/>
      <c r="E93" s="57"/>
    </row>
    <row r="94" spans="1:5" ht="25.5" customHeight="1">
      <c r="A94" s="51" t="s">
        <v>2406</v>
      </c>
      <c r="B94" s="45" t="s">
        <v>3595</v>
      </c>
      <c r="C94" s="45" t="s">
        <v>3596</v>
      </c>
      <c r="D94" s="45"/>
      <c r="E94" s="57"/>
    </row>
    <row r="95" spans="1:5" ht="25.5" customHeight="1">
      <c r="A95" s="51" t="s">
        <v>2406</v>
      </c>
      <c r="B95" s="45" t="s">
        <v>3597</v>
      </c>
      <c r="C95" s="45" t="s">
        <v>3598</v>
      </c>
      <c r="D95" s="45"/>
      <c r="E95" s="57"/>
    </row>
    <row r="96" spans="1:5" ht="25.5" customHeight="1">
      <c r="A96" s="51" t="s">
        <v>2406</v>
      </c>
      <c r="B96" s="45" t="s">
        <v>3599</v>
      </c>
      <c r="C96" s="45" t="s">
        <v>3600</v>
      </c>
      <c r="D96" s="45"/>
      <c r="E96" s="57"/>
    </row>
  </sheetData>
  <hyperlinks>
    <hyperlink ref="E59" r:id="rId1"/>
  </hyperlink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9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customWidth="1"/>
    <col min="2" max="2" width="11.28515625" customWidth="1"/>
    <col min="3" max="3" width="94.7109375" customWidth="1"/>
    <col min="4" max="4" width="4.42578125" customWidth="1"/>
    <col min="5" max="5" width="130.42578125" style="1" customWidth="1"/>
  </cols>
  <sheetData>
    <row r="1" spans="1:25" ht="25.5" customHeight="1">
      <c r="A1" s="71" t="str">
        <f ca="1">IFERROR(__xludf.DUMMYFUNCTION("importrange(""https://docs.google.com/spreadsheets/d/1yU4p5H2yU5skj24I50dHrQgC4a9ilv5aTKR7hnBISJk/edit#gid=1150739352"",""CE-PLN!A1:J150"")"),"TOP")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5.5" customHeight="1">
      <c r="A2" s="67" t="str">
        <f ca="1">IFERROR(__xludf.DUMMYFUNCTION("""COMPUTED_VALUE"""),"Top 10")</f>
        <v>Top 10</v>
      </c>
      <c r="B2" s="46" t="str">
        <f ca="1">IFERROR(__xludf.DUMMYFUNCTION("""COMPUTED_VALUE"""),"ACL")</f>
        <v>ACL</v>
      </c>
      <c r="C2" s="46" t="str">
        <f ca="1">IFERROR(__xludf.DUMMYFUNCTION("""COMPUTED_VALUE"""),"International Conference of the Association of Computational Linguistics")</f>
        <v>International Conference of the Association of Computational Linguistics</v>
      </c>
      <c r="D2" s="46">
        <f ca="1">IFERROR(__xludf.DUMMYFUNCTION("""COMPUTED_VALUE"""),106)</f>
        <v>106</v>
      </c>
      <c r="E2" s="60" t="str">
        <f ca="1">IFERROR(__xludf.DUMMYFUNCTION("""COMPUTED_VALUE"""),"https://scholar.google.com.br/citations?hl=pt-BR&amp;vq=eng_computationallinguistics&amp;view_op=list_hcore&amp;venue=Y3UjV9bSCxMJ.2019")</f>
        <v>https://scholar.google.com.br/citations?hl=pt-BR&amp;vq=eng_computationallinguistics&amp;view_op=list_hcore&amp;venue=Y3UjV9bSCxMJ.2019</v>
      </c>
    </row>
    <row r="3" spans="1:25" ht="25.5" customHeight="1">
      <c r="A3" s="67" t="str">
        <f ca="1">IFERROR(__xludf.DUMMYFUNCTION("""COMPUTED_VALUE"""),"Top 10")</f>
        <v>Top 10</v>
      </c>
      <c r="B3" s="46" t="str">
        <f ca="1">IFERROR(__xludf.DUMMYFUNCTION("""COMPUTED_VALUE"""),"NAACL")</f>
        <v>NAACL</v>
      </c>
      <c r="C3" s="46" t="str">
        <f ca="1">IFERROR(__xludf.DUMMYFUNCTION("""COMPUTED_VALUE"""),"North American Chapter of the Association for Computational Linguistics Annual Meeting")</f>
        <v>North American Chapter of the Association for Computational Linguistics Annual Meeting</v>
      </c>
      <c r="D3" s="46">
        <f ca="1">IFERROR(__xludf.DUMMYFUNCTION("""COMPUTED_VALUE"""),61)</f>
        <v>61</v>
      </c>
      <c r="E3" s="60" t="str">
        <f ca="1">IFERROR(__xludf.DUMMYFUNCTION("""COMPUTED_VALUE"""),"https://scholar.google.com.br/citations?hl=pt-BR&amp;view_op=list_hcore&amp;venue=ORSK3meVbY4J.2019")</f>
        <v>https://scholar.google.com.br/citations?hl=pt-BR&amp;view_op=list_hcore&amp;venue=ORSK3meVbY4J.2019</v>
      </c>
    </row>
    <row r="4" spans="1:25" ht="25.5" customHeight="1">
      <c r="A4" s="67" t="str">
        <f ca="1">IFERROR(__xludf.DUMMYFUNCTION("""COMPUTED_VALUE"""),"Top 10")</f>
        <v>Top 10</v>
      </c>
      <c r="B4" s="46" t="str">
        <f ca="1">IFERROR(__xludf.DUMMYFUNCTION("""COMPUTED_VALUE"""),"EACL")</f>
        <v>EACL</v>
      </c>
      <c r="C4" s="46" t="str">
        <f ca="1">IFERROR(__xludf.DUMMYFUNCTION("""COMPUTED_VALUE"""),"Conference of the European Chapter of the Association for Computational Linguistics")</f>
        <v>Conference of the European Chapter of the Association for Computational Linguistics</v>
      </c>
      <c r="D4" s="46">
        <f ca="1">IFERROR(__xludf.DUMMYFUNCTION("""COMPUTED_VALUE"""),36)</f>
        <v>36</v>
      </c>
      <c r="E4" s="60" t="str">
        <f ca="1">IFERROR(__xludf.DUMMYFUNCTION("""COMPUTED_VALUE"""),"https://scholar.google.com.br/citations?hl=pt-BR&amp;vq=eng_computationallinguistics&amp;view_op=list_hcore&amp;venue=JnFTLT-D1FUJ.2019")</f>
        <v>https://scholar.google.com.br/citations?hl=pt-BR&amp;vq=eng_computationallinguistics&amp;view_op=list_hcore&amp;venue=JnFTLT-D1FUJ.2019</v>
      </c>
    </row>
    <row r="5" spans="1:25" ht="25.5" customHeight="1">
      <c r="A5" s="67" t="str">
        <f ca="1">IFERROR(__xludf.DUMMYFUNCTION("""COMPUTED_VALUE"""),"Top 10")</f>
        <v>Top 10</v>
      </c>
      <c r="B5" s="46" t="str">
        <f ca="1">IFERROR(__xludf.DUMMYFUNCTION("""COMPUTED_VALUE"""),"COLING")</f>
        <v>COLING</v>
      </c>
      <c r="C5" s="46" t="str">
        <f ca="1">IFERROR(__xludf.DUMMYFUNCTION("""COMPUTED_VALUE"""),"International Conference on Computational Linguistics")</f>
        <v>International Conference on Computational Linguistics</v>
      </c>
      <c r="D5" s="46">
        <f ca="1">IFERROR(__xludf.DUMMYFUNCTION("""COMPUTED_VALUE"""),41)</f>
        <v>41</v>
      </c>
      <c r="E5" s="60" t="str">
        <f ca="1">IFERROR(__xludf.DUMMYFUNCTION("""COMPUTED_VALUE"""),"https://scholar.google.com.br/citations?hl=pt-BR&amp;vq=eng_computationallinguistics&amp;view_op=list_hcore&amp;venue=6AfzgED5a7MJ.2019")</f>
        <v>https://scholar.google.com.br/citations?hl=pt-BR&amp;vq=eng_computationallinguistics&amp;view_op=list_hcore&amp;venue=6AfzgED5a7MJ.2019</v>
      </c>
    </row>
    <row r="6" spans="1:25" ht="25.5" customHeight="1">
      <c r="A6" s="67" t="str">
        <f ca="1">IFERROR(__xludf.DUMMYFUNCTION("""COMPUTED_VALUE"""),"Top 10")</f>
        <v>Top 10</v>
      </c>
      <c r="B6" s="46" t="str">
        <f ca="1">IFERROR(__xludf.DUMMYFUNCTION("""COMPUTED_VALUE"""),"EMNLP")</f>
        <v>EMNLP</v>
      </c>
      <c r="C6" s="46" t="str">
        <f ca="1">IFERROR(__xludf.DUMMYFUNCTION("""COMPUTED_VALUE"""),"Conference on Empirical Methods in Natural Language Processing")</f>
        <v>Conference on Empirical Methods in Natural Language Processing</v>
      </c>
      <c r="D6" s="46">
        <f ca="1">IFERROR(__xludf.DUMMYFUNCTION("""COMPUTED_VALUE"""),88)</f>
        <v>88</v>
      </c>
      <c r="E6" s="60" t="str">
        <f ca="1">IFERROR(__xludf.DUMMYFUNCTION("""COMPUTED_VALUE"""),"https://scholar.google.com.br/citations?hl=pt-BR&amp;vq=eng_computationallinguistics&amp;view_op=list_hcore&amp;venue=LqrQjvOguiMJ.2019")</f>
        <v>https://scholar.google.com.br/citations?hl=pt-BR&amp;vq=eng_computationallinguistics&amp;view_op=list_hcore&amp;venue=LqrQjvOguiMJ.2019</v>
      </c>
    </row>
    <row r="7" spans="1:25" ht="25.5" customHeight="1">
      <c r="A7" s="67" t="str">
        <f ca="1">IFERROR(__xludf.DUMMYFUNCTION("""COMPUTED_VALUE"""),"Top 10")</f>
        <v>Top 10</v>
      </c>
      <c r="B7" s="46" t="str">
        <f ca="1">IFERROR(__xludf.DUMMYFUNCTION("""COMPUTED_VALUE"""),"CoNLL")</f>
        <v>CoNLL</v>
      </c>
      <c r="C7" s="46" t="str">
        <f ca="1">IFERROR(__xludf.DUMMYFUNCTION("""COMPUTED_VALUE"""),"Conference on Natural Language Learning")</f>
        <v>Conference on Natural Language Learning</v>
      </c>
      <c r="D7" s="46">
        <f ca="1">IFERROR(__xludf.DUMMYFUNCTION("""COMPUTED_VALUE"""),34)</f>
        <v>34</v>
      </c>
      <c r="E7" s="60" t="str">
        <f ca="1">IFERROR(__xludf.DUMMYFUNCTION("""COMPUTED_VALUE"""),"https://scholar.google.com.br/citations?hl=pt-BR&amp;vq=eng_computationallinguistics&amp;view_op=list_hcore&amp;venue=H7TUtVM_vm4J.2019")</f>
        <v>https://scholar.google.com.br/citations?hl=pt-BR&amp;vq=eng_computationallinguistics&amp;view_op=list_hcore&amp;venue=H7TUtVM_vm4J.2019</v>
      </c>
    </row>
    <row r="8" spans="1:25" ht="25.5" customHeight="1">
      <c r="A8" s="67" t="str">
        <f ca="1">IFERROR(__xludf.DUMMYFUNCTION("""COMPUTED_VALUE"""),"Top 10")</f>
        <v>Top 10</v>
      </c>
      <c r="B8" s="46" t="str">
        <f ca="1">IFERROR(__xludf.DUMMYFUNCTION("""COMPUTED_VALUE"""),"IJCNLP")</f>
        <v>IJCNLP</v>
      </c>
      <c r="C8" s="46" t="str">
        <f ca="1">IFERROR(__xludf.DUMMYFUNCTION("""COMPUTED_VALUE"""),"International Joint Conference on Natural Language Processing")</f>
        <v>International Joint Conference on Natural Language Processing</v>
      </c>
      <c r="D8" s="46"/>
      <c r="E8" s="60"/>
    </row>
    <row r="9" spans="1:25" ht="25.5" customHeight="1">
      <c r="A9" s="67" t="str">
        <f ca="1">IFERROR(__xludf.DUMMYFUNCTION("""COMPUTED_VALUE"""),"Top 10")</f>
        <v>Top 10</v>
      </c>
      <c r="B9" s="46" t="str">
        <f ca="1">IFERROR(__xludf.DUMMYFUNCTION("""COMPUTED_VALUE"""),"LREC")</f>
        <v>LREC</v>
      </c>
      <c r="C9" s="46" t="str">
        <f ca="1">IFERROR(__xludf.DUMMYFUNCTION("""COMPUTED_VALUE"""),"International Conference on Language Resources and Evaluation")</f>
        <v>International Conference on Language Resources and Evaluation</v>
      </c>
      <c r="D9" s="46">
        <f ca="1">IFERROR(__xludf.DUMMYFUNCTION("""COMPUTED_VALUE"""),45)</f>
        <v>45</v>
      </c>
      <c r="E9" s="60" t="str">
        <f ca="1">IFERROR(__xludf.DUMMYFUNCTION("""COMPUTED_VALUE"""),"https://scholar.google.com.br/citations?hl=pt-BR&amp;vq=eng_computationallinguistics&amp;view_op=list_hcore&amp;venue=qf6JB6yXg1UJ.2019")</f>
        <v>https://scholar.google.com.br/citations?hl=pt-BR&amp;vq=eng_computationallinguistics&amp;view_op=list_hcore&amp;venue=qf6JB6yXg1UJ.2019</v>
      </c>
    </row>
    <row r="10" spans="1:25" ht="25.5" customHeight="1">
      <c r="A10" s="67" t="str">
        <f ca="1">IFERROR(__xludf.DUMMYFUNCTION("""COMPUTED_VALUE"""),"Top 10")</f>
        <v>Top 10</v>
      </c>
      <c r="B10" s="46" t="str">
        <f ca="1">IFERROR(__xludf.DUMMYFUNCTION("""COMPUTED_VALUE"""),"STIL")</f>
        <v>STIL</v>
      </c>
      <c r="C10" s="46" t="str">
        <f ca="1">IFERROR(__xludf.DUMMYFUNCTION("""COMPUTED_VALUE"""),"Simpósio Brasileiro de Tecnologia da Informação e da Linguagem Humana")</f>
        <v>Simpósio Brasileiro de Tecnologia da Informação e da Linguagem Humana</v>
      </c>
      <c r="D10" s="46"/>
      <c r="E10" s="60"/>
    </row>
    <row r="11" spans="1:25" ht="25.5" customHeight="1">
      <c r="A11" s="67" t="str">
        <f ca="1">IFERROR(__xludf.DUMMYFUNCTION("""COMPUTED_VALUE"""),"Top 10")</f>
        <v>Top 10</v>
      </c>
      <c r="B11" s="46" t="str">
        <f ca="1">IFERROR(__xludf.DUMMYFUNCTION("""COMPUTED_VALUE"""),"PROPOR")</f>
        <v>PROPOR</v>
      </c>
      <c r="C11" s="46" t="str">
        <f ca="1">IFERROR(__xludf.DUMMYFUNCTION("""COMPUTED_VALUE"""),"International Conference on Computational Processing of Portuguese Language")</f>
        <v>International Conference on Computational Processing of Portuguese Language</v>
      </c>
      <c r="D11" s="46"/>
      <c r="E11" s="60"/>
    </row>
    <row r="12" spans="1:25" ht="25.5" customHeight="1">
      <c r="A12" s="70" t="str">
        <f ca="1">IFERROR(__xludf.DUMMYFUNCTION("""COMPUTED_VALUE"""),"Top 20")</f>
        <v>Top 20</v>
      </c>
      <c r="B12" s="46" t="str">
        <f ca="1">IFERROR(__xludf.DUMMYFUNCTION("""COMPUTED_VALUE"""),"SEMEVAL")</f>
        <v>SEMEVAL</v>
      </c>
      <c r="C12" s="46" t="str">
        <f ca="1">IFERROR(__xludf.DUMMYFUNCTION("""COMPUTED_VALUE"""),"International Workshop on Semantic Evaluations")</f>
        <v>International Workshop on Semantic Evaluations</v>
      </c>
      <c r="D12" s="46">
        <f ca="1">IFERROR(__xludf.DUMMYFUNCTION("""COMPUTED_VALUE"""),49)</f>
        <v>49</v>
      </c>
      <c r="E12" s="60" t="str">
        <f ca="1">IFERROR(__xludf.DUMMYFUNCTION("""COMPUTED_VALUE"""),"https://scholar.google.com.br/citations?hl=pt-BR&amp;view_op=list_hcore&amp;venue=nnrJuCTuhnwJ.2019")</f>
        <v>https://scholar.google.com.br/citations?hl=pt-BR&amp;view_op=list_hcore&amp;venue=nnrJuCTuhnwJ.2019</v>
      </c>
    </row>
    <row r="13" spans="1:25" ht="25.5" customHeight="1">
      <c r="A13" s="70" t="str">
        <f ca="1">IFERROR(__xludf.DUMMYFUNCTION("""COMPUTED_VALUE"""),"Top 20")</f>
        <v>Top 20</v>
      </c>
      <c r="B13" s="46" t="str">
        <f ca="1">IFERROR(__xludf.DUMMYFUNCTION("""COMPUTED_VALUE"""),"CICLING")</f>
        <v>CICLING</v>
      </c>
      <c r="C13" s="46" t="str">
        <f ca="1">IFERROR(__xludf.DUMMYFUNCTION("""COMPUTED_VALUE"""),"International Conference on Computational Linguistics and Intelligent Text Processing")</f>
        <v>International Conference on Computational Linguistics and Intelligent Text Processing</v>
      </c>
      <c r="D13" s="46"/>
      <c r="E13" s="60"/>
    </row>
    <row r="14" spans="1:25" ht="25.5" customHeight="1">
      <c r="A14" s="70" t="str">
        <f ca="1">IFERROR(__xludf.DUMMYFUNCTION("""COMPUTED_VALUE"""),"Top 20")</f>
        <v>Top 20</v>
      </c>
      <c r="B14" s="46" t="str">
        <f ca="1">IFERROR(__xludf.DUMMYFUNCTION("""COMPUTED_VALUE"""),"RANLP")</f>
        <v>RANLP</v>
      </c>
      <c r="C14" s="46" t="str">
        <f ca="1">IFERROR(__xludf.DUMMYFUNCTION("""COMPUTED_VALUE"""),"Recent Advances in Natural Language Processing")</f>
        <v>Recent Advances in Natural Language Processing</v>
      </c>
      <c r="D14" s="46"/>
      <c r="E14" s="60"/>
    </row>
    <row r="15" spans="1:25" ht="25.5" customHeight="1">
      <c r="A15" s="70" t="str">
        <f ca="1">IFERROR(__xludf.DUMMYFUNCTION("""COMPUTED_VALUE"""),"Top 20")</f>
        <v>Top 20</v>
      </c>
      <c r="B15" s="46" t="str">
        <f ca="1">IFERROR(__xludf.DUMMYFUNCTION("""COMPUTED_VALUE"""),"TSD")</f>
        <v>TSD</v>
      </c>
      <c r="C15" s="46" t="str">
        <f ca="1">IFERROR(__xludf.DUMMYFUNCTION("""COMPUTED_VALUE"""),"International Conference on Text, Speech and Dialog")</f>
        <v>International Conference on Text, Speech and Dialog</v>
      </c>
      <c r="D15" s="46"/>
      <c r="E15" s="60"/>
    </row>
    <row r="16" spans="1:25" ht="25.5" customHeight="1">
      <c r="A16" s="70" t="str">
        <f ca="1">IFERROR(__xludf.DUMMYFUNCTION("""COMPUTED_VALUE"""),"Top 20")</f>
        <v>Top 20</v>
      </c>
      <c r="B16" s="46" t="str">
        <f ca="1">IFERROR(__xludf.DUMMYFUNCTION("""COMPUTED_VALUE"""),"LAW")</f>
        <v>LAW</v>
      </c>
      <c r="C16" s="46" t="str">
        <f ca="1">IFERROR(__xludf.DUMMYFUNCTION("""COMPUTED_VALUE"""),"Linguistic Annotation Workshop")</f>
        <v>Linguistic Annotation Workshop</v>
      </c>
      <c r="D16" s="46"/>
      <c r="E16" s="60"/>
    </row>
    <row r="17" spans="1:5" ht="25.5" customHeight="1">
      <c r="A17" s="70" t="str">
        <f ca="1">IFERROR(__xludf.DUMMYFUNCTION("""COMPUTED_VALUE"""),"Top 20")</f>
        <v>Top 20</v>
      </c>
      <c r="B17" s="46" t="str">
        <f ca="1">IFERROR(__xludf.DUMMYFUNCTION("""COMPUTED_VALUE"""),"INLG")</f>
        <v>INLG</v>
      </c>
      <c r="C17" s="46" t="str">
        <f ca="1">IFERROR(__xludf.DUMMYFUNCTION("""COMPUTED_VALUE"""),"International Conference on Natural Language Generation")</f>
        <v>International Conference on Natural Language Generation</v>
      </c>
      <c r="D17" s="46"/>
      <c r="E17" s="60"/>
    </row>
    <row r="18" spans="1:5" ht="25.5" customHeight="1">
      <c r="A18" s="70" t="str">
        <f ca="1">IFERROR(__xludf.DUMMYFUNCTION("""COMPUTED_VALUE"""),"Top 20")</f>
        <v>Top 20</v>
      </c>
      <c r="B18" s="46" t="str">
        <f ca="1">IFERROR(__xludf.DUMMYFUNCTION("""COMPUTED_VALUE"""),"TAC")</f>
        <v>TAC</v>
      </c>
      <c r="C18" s="46" t="str">
        <f ca="1">IFERROR(__xludf.DUMMYFUNCTION("""COMPUTED_VALUE"""),"Text Analysis Conference")</f>
        <v>Text Analysis Conference</v>
      </c>
      <c r="D18" s="46"/>
      <c r="E18" s="60"/>
    </row>
    <row r="19" spans="1:5" ht="25.5" customHeight="1">
      <c r="A19" s="70" t="str">
        <f ca="1">IFERROR(__xludf.DUMMYFUNCTION("""COMPUTED_VALUE"""),"Top 20")</f>
        <v>Top 20</v>
      </c>
      <c r="B19" s="46" t="str">
        <f ca="1">IFERROR(__xludf.DUMMYFUNCTION("""COMPUTED_VALUE"""),"CL")</f>
        <v>CL</v>
      </c>
      <c r="C19" s="46" t="str">
        <f ca="1">IFERROR(__xludf.DUMMYFUNCTION("""COMPUTED_VALUE"""),"Corpus Linguistics Conference")</f>
        <v>Corpus Linguistics Conference</v>
      </c>
      <c r="D19" s="46"/>
      <c r="E19" s="60"/>
    </row>
    <row r="20" spans="1:5" ht="25.5" customHeight="1">
      <c r="A20" s="70" t="str">
        <f ca="1">IFERROR(__xludf.DUMMYFUNCTION("""COMPUTED_VALUE"""),"Top 20")</f>
        <v>Top 20</v>
      </c>
      <c r="B20" s="46" t="str">
        <f ca="1">IFERROR(__xludf.DUMMYFUNCTION("""COMPUTED_VALUE"""),"ELC")</f>
        <v>ELC</v>
      </c>
      <c r="C20" s="46" t="str">
        <f ca="1">IFERROR(__xludf.DUMMYFUNCTION("""COMPUTED_VALUE"""),"Encontro de Linguística de Corpus")</f>
        <v>Encontro de Linguística de Corpus</v>
      </c>
      <c r="D20" s="46"/>
      <c r="E20" s="60"/>
    </row>
    <row r="21" spans="1:5" ht="25.5" customHeight="1">
      <c r="A21" s="70" t="str">
        <f ca="1">IFERROR(__xludf.DUMMYFUNCTION("""COMPUTED_VALUE"""),"Top 20")</f>
        <v>Top 20</v>
      </c>
      <c r="B21" s="46" t="str">
        <f ca="1">IFERROR(__xludf.DUMMYFUNCTION("""COMPUTED_VALUE"""),"ONTOBRAS")</f>
        <v>ONTOBRAS</v>
      </c>
      <c r="C21" s="46" t="str">
        <f ca="1">IFERROR(__xludf.DUMMYFUNCTION("""COMPUTED_VALUE"""),"Seminário de Pesquisa em Ontologias do Brasil")</f>
        <v>Seminário de Pesquisa em Ontologias do Brasil</v>
      </c>
      <c r="D21" s="46"/>
      <c r="E21" s="60"/>
    </row>
    <row r="22" spans="1:5" ht="25.5" customHeight="1">
      <c r="A22" s="73" t="str">
        <f ca="1">IFERROR(__xludf.DUMMYFUNCTION("""COMPUTED_VALUE"""),"Eventos da Área")</f>
        <v>Eventos da Área</v>
      </c>
      <c r="B22" s="46" t="str">
        <f ca="1">IFERROR(__xludf.DUMMYFUNCTION("""COMPUTED_VALUE"""),"AAAI")</f>
        <v>AAAI</v>
      </c>
      <c r="C22" s="46" t="str">
        <f ca="1">IFERROR(__xludf.DUMMYFUNCTION("""COMPUTED_VALUE"""),"Conference on Artificial Intelligence")</f>
        <v>Conference on Artificial Intelligence</v>
      </c>
      <c r="D22" s="46">
        <f ca="1">IFERROR(__xludf.DUMMYFUNCTION("""COMPUTED_VALUE"""),95)</f>
        <v>95</v>
      </c>
      <c r="E22" s="60" t="str">
        <f ca="1">IFERROR(__xludf.DUMMYFUNCTION("""COMPUTED_VALUE"""),"https://scholar.google.com.br/citations?hl=pt-BR&amp;vq=eng_artificialintelligence&amp;view_op=list_hcore&amp;venue=PV9sQN5dnPsJ.2019")</f>
        <v>https://scholar.google.com.br/citations?hl=pt-BR&amp;vq=eng_artificialintelligence&amp;view_op=list_hcore&amp;venue=PV9sQN5dnPsJ.2019</v>
      </c>
    </row>
    <row r="23" spans="1:5" ht="25.5" customHeight="1">
      <c r="A23" s="73" t="str">
        <f ca="1">IFERROR(__xludf.DUMMYFUNCTION("""COMPUTED_VALUE"""),"Eventos da Área")</f>
        <v>Eventos da Área</v>
      </c>
      <c r="B23" s="46" t="str">
        <f ca="1">IFERROR(__xludf.DUMMYFUNCTION("""COMPUTED_VALUE"""),"IJCNLP")</f>
        <v>IJCNLP</v>
      </c>
      <c r="C23" s="46" t="str">
        <f ca="1">IFERROR(__xludf.DUMMYFUNCTION("""COMPUTED_VALUE"""),"International Joint Conference on Natural Language Processing")</f>
        <v>International Joint Conference on Natural Language Processing</v>
      </c>
      <c r="D23" s="46">
        <f ca="1">IFERROR(__xludf.DUMMYFUNCTION("""COMPUTED_VALUE"""),15)</f>
        <v>15</v>
      </c>
      <c r="E23" s="60" t="str">
        <f ca="1">IFERROR(__xludf.DUMMYFUNCTION("""COMPUTED_VALUE"""),"https://scholar.google.com.br/citations?hl=pt-BR&amp;view_op=list_hcore&amp;venue=ChOJoaYoBoAJ.2019")</f>
        <v>https://scholar.google.com.br/citations?hl=pt-BR&amp;view_op=list_hcore&amp;venue=ChOJoaYoBoAJ.2019</v>
      </c>
    </row>
    <row r="24" spans="1:5" ht="25.5" customHeight="1">
      <c r="A24" s="73" t="str">
        <f ca="1">IFERROR(__xludf.DUMMYFUNCTION("""COMPUTED_VALUE"""),"Eventos da Área")</f>
        <v>Eventos da Área</v>
      </c>
      <c r="B24" s="46" t="str">
        <f ca="1">IFERROR(__xludf.DUMMYFUNCTION("""COMPUTED_VALUE"""),"TREC")</f>
        <v>TREC</v>
      </c>
      <c r="C24" s="46" t="str">
        <f ca="1">IFERROR(__xludf.DUMMYFUNCTION("""COMPUTED_VALUE"""),"Text Retrieval Conference")</f>
        <v>Text Retrieval Conference</v>
      </c>
      <c r="D24" s="46">
        <f ca="1">IFERROR(__xludf.DUMMYFUNCTION("""COMPUTED_VALUE"""),18)</f>
        <v>18</v>
      </c>
      <c r="E24" s="60" t="str">
        <f ca="1">IFERROR(__xludf.DUMMYFUNCTION("""COMPUTED_VALUE"""),"https://scholar.google.com.br/citations?hl=pt-BR&amp;view_op=list_hcore&amp;venue=NVceRfB9aaoJ.2019")</f>
        <v>https://scholar.google.com.br/citations?hl=pt-BR&amp;view_op=list_hcore&amp;venue=NVceRfB9aaoJ.2019</v>
      </c>
    </row>
    <row r="25" spans="1:5" ht="25.5" customHeight="1">
      <c r="A25" s="73" t="str">
        <f ca="1">IFERROR(__xludf.DUMMYFUNCTION("""COMPUTED_VALUE"""),"Eventos da Área")</f>
        <v>Eventos da Área</v>
      </c>
      <c r="B25" s="46" t="str">
        <f ca="1">IFERROR(__xludf.DUMMYFUNCTION("""COMPUTED_VALUE"""),"SIGDIAL")</f>
        <v>SIGDIAL</v>
      </c>
      <c r="C25" s="46" t="str">
        <f ca="1">IFERROR(__xludf.DUMMYFUNCTION("""COMPUTED_VALUE"""),"Annual Meeting of the Special Interest Group on Discourse and Dialogue")</f>
        <v>Annual Meeting of the Special Interest Group on Discourse and Dialogue</v>
      </c>
      <c r="D25" s="46">
        <f ca="1">IFERROR(__xludf.DUMMYFUNCTION("""COMPUTED_VALUE"""),26)</f>
        <v>26</v>
      </c>
      <c r="E25" s="60" t="str">
        <f ca="1">IFERROR(__xludf.DUMMYFUNCTION("""COMPUTED_VALUE"""),"https://scholar.google.com.br/citations?hl=pt-BR&amp;vq=eng_computationallinguistics&amp;view_op=list_hcore&amp;venue=9-0ktENZUpkJ.2019")</f>
        <v>https://scholar.google.com.br/citations?hl=pt-BR&amp;vq=eng_computationallinguistics&amp;view_op=list_hcore&amp;venue=9-0ktENZUpkJ.2019</v>
      </c>
    </row>
    <row r="26" spans="1:5" ht="25.5" customHeight="1">
      <c r="A26" s="73" t="str">
        <f ca="1">IFERROR(__xludf.DUMMYFUNCTION("""COMPUTED_VALUE"""),"Eventos da Área")</f>
        <v>Eventos da Área</v>
      </c>
      <c r="B26" s="46" t="str">
        <f ca="1">IFERROR(__xludf.DUMMYFUNCTION("""COMPUTED_VALUE"""),"IWCS")</f>
        <v>IWCS</v>
      </c>
      <c r="C26" s="46" t="str">
        <f ca="1">IFERROR(__xludf.DUMMYFUNCTION("""COMPUTED_VALUE"""),"International Workshop on Computational Semantics")</f>
        <v>International Workshop on Computational Semantics</v>
      </c>
      <c r="D26" s="46"/>
      <c r="E26" s="60"/>
    </row>
    <row r="27" spans="1:5" ht="25.5" customHeight="1">
      <c r="A27" s="73" t="str">
        <f ca="1">IFERROR(__xludf.DUMMYFUNCTION("""COMPUTED_VALUE"""),"Eventos da Área")</f>
        <v>Eventos da Área</v>
      </c>
      <c r="B27" s="46" t="str">
        <f ca="1">IFERROR(__xludf.DUMMYFUNCTION("""COMPUTED_VALUE"""),"IJCAI")</f>
        <v>IJCAI</v>
      </c>
      <c r="C27" s="46" t="str">
        <f ca="1">IFERROR(__xludf.DUMMYFUNCTION("""COMPUTED_VALUE"""),"International Joint Conference on AI")</f>
        <v>International Joint Conference on AI</v>
      </c>
      <c r="D27" s="46">
        <f ca="1">IFERROR(__xludf.DUMMYFUNCTION("""COMPUTED_VALUE"""),67)</f>
        <v>67</v>
      </c>
      <c r="E27" s="60" t="str">
        <f ca="1">IFERROR(__xludf.DUMMYFUNCTION("""COMPUTED_VALUE"""),"https://scholar.google.com.br/citations?hl=pt-BR&amp;vq=eng_artificialintelligence&amp;view_op=list_hcore&amp;venue=4HxsSu0PUdYJ.2019")</f>
        <v>https://scholar.google.com.br/citations?hl=pt-BR&amp;vq=eng_artificialintelligence&amp;view_op=list_hcore&amp;venue=4HxsSu0PUdYJ.2019</v>
      </c>
    </row>
    <row r="28" spans="1:5" ht="25.5" customHeight="1">
      <c r="A28" s="73" t="str">
        <f ca="1">IFERROR(__xludf.DUMMYFUNCTION("""COMPUTED_VALUE"""),"Eventos da Área")</f>
        <v>Eventos da Área</v>
      </c>
      <c r="B28" s="46" t="str">
        <f ca="1">IFERROR(__xludf.DUMMYFUNCTION("""COMPUTED_VALUE"""),"SIGIR")</f>
        <v>SIGIR</v>
      </c>
      <c r="C28" s="46" t="str">
        <f ca="1">IFERROR(__xludf.DUMMYFUNCTION("""COMPUTED_VALUE"""),"Annual International ACM SIGIR Conference on Research &amp; Development in Information Retrieval")</f>
        <v>Annual International ACM SIGIR Conference on Research &amp; Development in Information Retrieval</v>
      </c>
      <c r="D28" s="46">
        <f ca="1">IFERROR(__xludf.DUMMYFUNCTION("""COMPUTED_VALUE"""),55)</f>
        <v>55</v>
      </c>
      <c r="E28" s="60" t="str">
        <f ca="1">IFERROR(__xludf.DUMMYFUNCTION("""COMPUTED_VALUE"""),"https://scholar.google.com.br/citations?hl=pt-BR&amp;view_op=list_hcore&amp;venue=Gf4FWVmkfbwJ.2019")</f>
        <v>https://scholar.google.com.br/citations?hl=pt-BR&amp;view_op=list_hcore&amp;venue=Gf4FWVmkfbwJ.2019</v>
      </c>
    </row>
    <row r="29" spans="1:5" ht="25.5" customHeight="1">
      <c r="A29" s="73" t="str">
        <f ca="1">IFERROR(__xludf.DUMMYFUNCTION("""COMPUTED_VALUE"""),"Eventos da Área")</f>
        <v>Eventos da Área</v>
      </c>
      <c r="B29" s="46" t="str">
        <f ca="1">IFERROR(__xludf.DUMMYFUNCTION("""COMPUTED_VALUE"""),"TAC")</f>
        <v>TAC</v>
      </c>
      <c r="C29" s="46" t="str">
        <f ca="1">IFERROR(__xludf.DUMMYFUNCTION("""COMPUTED_VALUE"""),"Text Analysis Conference")</f>
        <v>Text Analysis Conference</v>
      </c>
      <c r="D29" s="46"/>
      <c r="E29" s="60"/>
    </row>
  </sheetData>
  <hyperlinks>
    <hyperlink ref="E2" r:id="rId1" display="https://scholar.google.com.br/citations?hl=pt-BR&amp;vq=eng_computationallinguistics&amp;view_op=list_hcore&amp;venue=Y3UjV9bSCxMJ.2019"/>
    <hyperlink ref="E3" r:id="rId2" display="https://scholar.google.com.br/citations?hl=pt-BR&amp;view_op=list_hcore&amp;venue=ORSK3meVbY4J.2019"/>
    <hyperlink ref="E4" r:id="rId3" display="https://scholar.google.com.br/citations?hl=pt-BR&amp;vq=eng_computationallinguistics&amp;view_op=list_hcore&amp;venue=JnFTLT-D1FUJ.2019"/>
    <hyperlink ref="E5" r:id="rId4" display="https://scholar.google.com.br/citations?hl=pt-BR&amp;vq=eng_computationallinguistics&amp;view_op=list_hcore&amp;venue=6AfzgED5a7MJ.2019"/>
    <hyperlink ref="E6" r:id="rId5" display="https://scholar.google.com.br/citations?hl=pt-BR&amp;vq=eng_computationallinguistics&amp;view_op=list_hcore&amp;venue=LqrQjvOguiMJ.2019"/>
    <hyperlink ref="E7" r:id="rId6" display="https://scholar.google.com.br/citations?hl=pt-BR&amp;vq=eng_computationallinguistics&amp;view_op=list_hcore&amp;venue=H7TUtVM_vm4J.2019"/>
    <hyperlink ref="E9" r:id="rId7" display="https://scholar.google.com.br/citations?hl=pt-BR&amp;vq=eng_computationallinguistics&amp;view_op=list_hcore&amp;venue=qf6JB6yXg1UJ.2019"/>
    <hyperlink ref="E12" r:id="rId8" display="https://scholar.google.com.br/citations?hl=pt-BR&amp;view_op=list_hcore&amp;venue=nnrJuCTuhnwJ.2019"/>
    <hyperlink ref="E22" r:id="rId9" display="https://scholar.google.com.br/citations?hl=pt-BR&amp;vq=eng_artificialintelligence&amp;view_op=list_hcore&amp;venue=PV9sQN5dnPsJ.2019"/>
    <hyperlink ref="E23" r:id="rId10" display="https://scholar.google.com.br/citations?hl=pt-BR&amp;view_op=list_hcore&amp;venue=ChOJoaYoBoAJ.2019"/>
    <hyperlink ref="E24" r:id="rId11" display="https://scholar.google.com.br/citations?hl=pt-BR&amp;view_op=list_hcore&amp;venue=NVceRfB9aaoJ.2019"/>
    <hyperlink ref="E25" r:id="rId12" display="https://scholar.google.com.br/citations?hl=pt-BR&amp;vq=eng_computationallinguistics&amp;view_op=list_hcore&amp;venue=9-0ktENZUpkJ.2019"/>
    <hyperlink ref="E27" r:id="rId13" display="https://scholar.google.com.br/citations?hl=pt-BR&amp;vq=eng_artificialintelligence&amp;view_op=list_hcore&amp;venue=4HxsSu0PUdYJ.2019"/>
    <hyperlink ref="E28" r:id="rId14" display="https://scholar.google.com.br/citations?hl=pt-BR&amp;view_op=list_hcore&amp;venue=Gf4FWVmkfbwJ.2019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7"/>
  <sheetViews>
    <sheetView showGridLines="0" tabSelected="1" zoomScaleNormal="100" workbookViewId="0">
      <pane ySplit="1" topLeftCell="A2" activePane="bottomLeft" state="frozen"/>
      <selection activeCell="C34" sqref="C34"/>
      <selection pane="bottomLeft" activeCell="C14" sqref="C14"/>
    </sheetView>
  </sheetViews>
  <sheetFormatPr defaultColWidth="12.5703125" defaultRowHeight="25.5" customHeight="1"/>
  <cols>
    <col min="1" max="1" width="16.140625" style="30" bestFit="1" customWidth="1"/>
    <col min="2" max="2" width="11" style="30" bestFit="1" customWidth="1"/>
    <col min="3" max="3" width="99.5703125" style="30" bestFit="1" customWidth="1"/>
    <col min="4" max="4" width="4.140625" style="30" bestFit="1" customWidth="1"/>
    <col min="5" max="5" width="125.140625" style="30" bestFit="1" customWidth="1"/>
    <col min="6" max="16384" width="12.5703125" style="30"/>
  </cols>
  <sheetData>
    <row r="1" spans="1:25" ht="25.5" customHeight="1">
      <c r="A1" s="28" t="s">
        <v>2359</v>
      </c>
      <c r="B1" s="15" t="s">
        <v>0</v>
      </c>
      <c r="C1" s="15" t="s">
        <v>2360</v>
      </c>
      <c r="D1" s="15" t="s">
        <v>2361</v>
      </c>
      <c r="E1" s="15" t="s">
        <v>2362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25.5" customHeight="1">
      <c r="A2" s="31" t="s">
        <v>2363</v>
      </c>
      <c r="B2" s="32" t="s">
        <v>138</v>
      </c>
      <c r="C2" s="32" t="s">
        <v>139</v>
      </c>
      <c r="D2" s="32">
        <v>58</v>
      </c>
      <c r="E2" s="32" t="s">
        <v>2364</v>
      </c>
    </row>
    <row r="3" spans="1:25" ht="25.5" customHeight="1">
      <c r="A3" s="31" t="s">
        <v>2363</v>
      </c>
      <c r="B3" s="32" t="s">
        <v>80</v>
      </c>
      <c r="C3" s="32" t="s">
        <v>2365</v>
      </c>
      <c r="D3" s="32">
        <v>51</v>
      </c>
      <c r="E3" s="32" t="s">
        <v>2366</v>
      </c>
    </row>
    <row r="4" spans="1:25" ht="25.5" customHeight="1">
      <c r="A4" s="31" t="s">
        <v>2363</v>
      </c>
      <c r="B4" s="32" t="s">
        <v>16</v>
      </c>
      <c r="C4" s="32" t="s">
        <v>17</v>
      </c>
      <c r="D4" s="32">
        <v>51</v>
      </c>
      <c r="E4" s="32" t="s">
        <v>2367</v>
      </c>
    </row>
    <row r="5" spans="1:25" ht="25.5" customHeight="1">
      <c r="A5" s="31" t="s">
        <v>2363</v>
      </c>
      <c r="B5" s="32" t="s">
        <v>132</v>
      </c>
      <c r="C5" s="33" t="s">
        <v>2368</v>
      </c>
      <c r="D5" s="32">
        <v>46</v>
      </c>
      <c r="E5" s="32" t="s">
        <v>2369</v>
      </c>
    </row>
    <row r="6" spans="1:25" ht="25.5" customHeight="1">
      <c r="A6" s="31" t="s">
        <v>2363</v>
      </c>
      <c r="B6" s="32" t="s">
        <v>184</v>
      </c>
      <c r="C6" s="32" t="s">
        <v>2370</v>
      </c>
      <c r="D6" s="32">
        <v>42</v>
      </c>
      <c r="E6" s="32" t="s">
        <v>2371</v>
      </c>
    </row>
    <row r="7" spans="1:25" ht="25.5" customHeight="1">
      <c r="A7" s="31" t="s">
        <v>2363</v>
      </c>
      <c r="B7" s="32" t="s">
        <v>2372</v>
      </c>
      <c r="C7" s="32" t="s">
        <v>2373</v>
      </c>
      <c r="D7" s="32">
        <v>41</v>
      </c>
      <c r="E7" s="32" t="s">
        <v>2374</v>
      </c>
    </row>
    <row r="8" spans="1:25" ht="25.5" customHeight="1">
      <c r="A8" s="31" t="s">
        <v>2363</v>
      </c>
      <c r="B8" s="32" t="s">
        <v>2375</v>
      </c>
      <c r="C8" s="33" t="s">
        <v>2376</v>
      </c>
      <c r="D8" s="32">
        <v>33</v>
      </c>
      <c r="E8" s="32" t="s">
        <v>2377</v>
      </c>
    </row>
    <row r="9" spans="1:25" ht="25.5" customHeight="1">
      <c r="A9" s="31" t="s">
        <v>2363</v>
      </c>
      <c r="B9" s="32" t="s">
        <v>2378</v>
      </c>
      <c r="C9" s="32" t="s">
        <v>2379</v>
      </c>
      <c r="D9" s="32">
        <v>32</v>
      </c>
      <c r="E9" s="32" t="s">
        <v>2380</v>
      </c>
    </row>
    <row r="10" spans="1:25" ht="25.5" customHeight="1">
      <c r="A10" s="31" t="s">
        <v>2363</v>
      </c>
      <c r="B10" s="32" t="s">
        <v>140</v>
      </c>
      <c r="C10" s="32" t="s">
        <v>141</v>
      </c>
      <c r="D10" s="32">
        <v>29</v>
      </c>
      <c r="E10" s="32" t="s">
        <v>2381</v>
      </c>
    </row>
    <row r="11" spans="1:25" ht="25.5" customHeight="1">
      <c r="A11" s="31" t="s">
        <v>2363</v>
      </c>
      <c r="B11" s="32" t="s">
        <v>168</v>
      </c>
      <c r="C11" s="32" t="s">
        <v>169</v>
      </c>
      <c r="D11" s="32">
        <v>28</v>
      </c>
      <c r="E11" s="32" t="s">
        <v>2382</v>
      </c>
    </row>
    <row r="12" spans="1:25" ht="25.5" customHeight="1">
      <c r="A12" s="34" t="s">
        <v>2383</v>
      </c>
      <c r="B12" s="32" t="s">
        <v>82</v>
      </c>
      <c r="C12" s="32" t="s">
        <v>2384</v>
      </c>
      <c r="D12" s="32">
        <v>28</v>
      </c>
      <c r="E12" s="32" t="s">
        <v>2385</v>
      </c>
    </row>
    <row r="13" spans="1:25" ht="25.5" customHeight="1">
      <c r="A13" s="34" t="s">
        <v>2383</v>
      </c>
      <c r="B13" s="32" t="s">
        <v>2386</v>
      </c>
      <c r="C13" s="32" t="s">
        <v>2387</v>
      </c>
      <c r="D13" s="32">
        <v>25</v>
      </c>
      <c r="E13" s="32" t="s">
        <v>2388</v>
      </c>
    </row>
    <row r="14" spans="1:25" ht="25.5" customHeight="1">
      <c r="A14" s="34" t="s">
        <v>2383</v>
      </c>
      <c r="B14" s="32" t="s">
        <v>2389</v>
      </c>
      <c r="C14" s="32" t="s">
        <v>2390</v>
      </c>
      <c r="D14" s="32">
        <v>25</v>
      </c>
      <c r="E14" s="32" t="s">
        <v>2391</v>
      </c>
    </row>
    <row r="15" spans="1:25" ht="25.5" customHeight="1">
      <c r="A15" s="34" t="s">
        <v>2383</v>
      </c>
      <c r="B15" s="32" t="s">
        <v>2392</v>
      </c>
      <c r="C15" s="33" t="s">
        <v>2393</v>
      </c>
      <c r="D15" s="32">
        <v>25</v>
      </c>
      <c r="E15" s="32" t="s">
        <v>2394</v>
      </c>
    </row>
    <row r="16" spans="1:25" ht="25.5" customHeight="1">
      <c r="A16" s="34" t="s">
        <v>2383</v>
      </c>
      <c r="B16" s="32" t="s">
        <v>2395</v>
      </c>
      <c r="C16" s="32" t="s">
        <v>59</v>
      </c>
      <c r="D16" s="32">
        <v>22</v>
      </c>
      <c r="E16" s="32" t="s">
        <v>2396</v>
      </c>
    </row>
    <row r="17" spans="1:5" ht="25.5" customHeight="1">
      <c r="A17" s="34" t="s">
        <v>2383</v>
      </c>
      <c r="B17" s="32" t="s">
        <v>354</v>
      </c>
      <c r="C17" s="32" t="s">
        <v>355</v>
      </c>
      <c r="D17" s="32">
        <v>22</v>
      </c>
      <c r="E17" s="32" t="s">
        <v>2397</v>
      </c>
    </row>
    <row r="18" spans="1:5" ht="25.5" customHeight="1">
      <c r="A18" s="34" t="s">
        <v>2383</v>
      </c>
      <c r="B18" s="32" t="s">
        <v>2398</v>
      </c>
      <c r="C18" s="32" t="s">
        <v>2399</v>
      </c>
      <c r="D18" s="32">
        <v>21</v>
      </c>
      <c r="E18" s="32" t="s">
        <v>2400</v>
      </c>
    </row>
    <row r="19" spans="1:5" ht="25.5" customHeight="1">
      <c r="A19" s="34" t="s">
        <v>2383</v>
      </c>
      <c r="B19" s="32" t="s">
        <v>110</v>
      </c>
      <c r="C19" s="33" t="s">
        <v>111</v>
      </c>
      <c r="D19" s="32">
        <v>21</v>
      </c>
      <c r="E19" s="32" t="s">
        <v>2401</v>
      </c>
    </row>
    <row r="20" spans="1:5" ht="25.5" customHeight="1">
      <c r="A20" s="34" t="s">
        <v>2383</v>
      </c>
      <c r="B20" s="32" t="s">
        <v>314</v>
      </c>
      <c r="C20" s="32" t="s">
        <v>2402</v>
      </c>
      <c r="D20" s="32">
        <v>21</v>
      </c>
      <c r="E20" s="32" t="s">
        <v>2403</v>
      </c>
    </row>
    <row r="21" spans="1:5" ht="25.5" customHeight="1">
      <c r="A21" s="34" t="s">
        <v>2383</v>
      </c>
      <c r="B21" s="32" t="s">
        <v>948</v>
      </c>
      <c r="C21" s="32" t="s">
        <v>2404</v>
      </c>
      <c r="D21" s="32">
        <v>12</v>
      </c>
      <c r="E21" s="32" t="s">
        <v>2405</v>
      </c>
    </row>
    <row r="22" spans="1:5" ht="25.5" customHeight="1">
      <c r="A22" s="35" t="s">
        <v>2406</v>
      </c>
      <c r="B22" s="32" t="s">
        <v>2407</v>
      </c>
      <c r="C22" s="32" t="s">
        <v>2408</v>
      </c>
      <c r="D22" s="32">
        <v>21</v>
      </c>
      <c r="E22" s="32" t="s">
        <v>2409</v>
      </c>
    </row>
    <row r="23" spans="1:5" ht="25.5" customHeight="1">
      <c r="A23" s="35" t="s">
        <v>2406</v>
      </c>
      <c r="B23" s="32" t="s">
        <v>2410</v>
      </c>
      <c r="C23" s="32" t="s">
        <v>251</v>
      </c>
      <c r="D23" s="32">
        <v>20</v>
      </c>
      <c r="E23" s="32" t="s">
        <v>2411</v>
      </c>
    </row>
    <row r="24" spans="1:5" ht="25.5" customHeight="1">
      <c r="A24" s="35" t="s">
        <v>2406</v>
      </c>
      <c r="B24" s="32" t="s">
        <v>414</v>
      </c>
      <c r="C24" s="32" t="s">
        <v>415</v>
      </c>
      <c r="D24" s="32">
        <v>20</v>
      </c>
      <c r="E24" s="32" t="s">
        <v>2412</v>
      </c>
    </row>
    <row r="25" spans="1:5" ht="25.5" customHeight="1">
      <c r="A25" s="35" t="s">
        <v>2406</v>
      </c>
      <c r="B25" s="32" t="s">
        <v>362</v>
      </c>
      <c r="C25" s="33" t="s">
        <v>363</v>
      </c>
      <c r="D25" s="32">
        <v>20</v>
      </c>
      <c r="E25" s="32" t="s">
        <v>2413</v>
      </c>
    </row>
    <row r="26" spans="1:5" ht="25.5" customHeight="1">
      <c r="A26" s="35" t="s">
        <v>2406</v>
      </c>
      <c r="B26" s="32" t="s">
        <v>678</v>
      </c>
      <c r="C26" s="33" t="s">
        <v>679</v>
      </c>
      <c r="D26" s="32">
        <v>17</v>
      </c>
      <c r="E26" s="32" t="s">
        <v>2414</v>
      </c>
    </row>
    <row r="27" spans="1:5" ht="25.5" customHeight="1">
      <c r="A27" s="35" t="s">
        <v>2406</v>
      </c>
      <c r="B27" s="32" t="s">
        <v>596</v>
      </c>
      <c r="C27" s="32" t="s">
        <v>2415</v>
      </c>
      <c r="D27" s="32">
        <v>16</v>
      </c>
      <c r="E27" s="32" t="s">
        <v>2416</v>
      </c>
    </row>
    <row r="28" spans="1:5" ht="25.5" customHeight="1">
      <c r="A28" s="35" t="s">
        <v>2406</v>
      </c>
      <c r="B28" s="32" t="s">
        <v>2417</v>
      </c>
      <c r="C28" s="33" t="s">
        <v>2418</v>
      </c>
      <c r="D28" s="32">
        <v>16</v>
      </c>
      <c r="E28" s="32" t="s">
        <v>2419</v>
      </c>
    </row>
    <row r="29" spans="1:5" ht="25.5" customHeight="1">
      <c r="A29" s="35" t="s">
        <v>2406</v>
      </c>
      <c r="B29" s="32" t="s">
        <v>500</v>
      </c>
      <c r="C29" s="32" t="s">
        <v>501</v>
      </c>
      <c r="D29" s="32">
        <v>15</v>
      </c>
      <c r="E29" s="32" t="s">
        <v>2420</v>
      </c>
    </row>
    <row r="30" spans="1:5" ht="25.5" customHeight="1">
      <c r="A30" s="35" t="s">
        <v>2406</v>
      </c>
      <c r="B30" s="32" t="s">
        <v>522</v>
      </c>
      <c r="C30" s="32" t="s">
        <v>523</v>
      </c>
      <c r="D30" s="32">
        <v>15</v>
      </c>
      <c r="E30" s="32" t="s">
        <v>2421</v>
      </c>
    </row>
    <row r="31" spans="1:5" ht="25.5" customHeight="1">
      <c r="A31" s="35" t="s">
        <v>2406</v>
      </c>
      <c r="B31" s="32" t="s">
        <v>2422</v>
      </c>
      <c r="C31" s="33" t="s">
        <v>2423</v>
      </c>
      <c r="D31" s="32">
        <v>14</v>
      </c>
      <c r="E31" s="32" t="s">
        <v>2424</v>
      </c>
    </row>
    <row r="32" spans="1:5" ht="25.5" customHeight="1">
      <c r="A32" s="35" t="s">
        <v>2406</v>
      </c>
      <c r="B32" s="32" t="s">
        <v>336</v>
      </c>
      <c r="C32" s="32" t="s">
        <v>337</v>
      </c>
      <c r="D32" s="32">
        <v>13</v>
      </c>
      <c r="E32" s="32" t="s">
        <v>2425</v>
      </c>
    </row>
    <row r="33" spans="1:5" ht="25.5" customHeight="1">
      <c r="A33" s="35" t="s">
        <v>2406</v>
      </c>
      <c r="B33" s="32" t="s">
        <v>710</v>
      </c>
      <c r="C33" s="32" t="s">
        <v>711</v>
      </c>
      <c r="D33" s="32">
        <v>13</v>
      </c>
      <c r="E33" s="32" t="s">
        <v>2426</v>
      </c>
    </row>
    <row r="34" spans="1:5" ht="25.5" customHeight="1">
      <c r="A34" s="35" t="s">
        <v>2406</v>
      </c>
      <c r="B34" s="32" t="s">
        <v>2427</v>
      </c>
      <c r="C34" s="32" t="s">
        <v>895</v>
      </c>
      <c r="D34" s="32">
        <v>12</v>
      </c>
      <c r="E34" s="32" t="s">
        <v>2428</v>
      </c>
    </row>
    <row r="35" spans="1:5" ht="25.5" customHeight="1">
      <c r="A35" s="35" t="s">
        <v>2406</v>
      </c>
      <c r="B35" s="32" t="s">
        <v>890</v>
      </c>
      <c r="C35" s="33" t="s">
        <v>891</v>
      </c>
      <c r="D35" s="32">
        <v>12</v>
      </c>
      <c r="E35" s="32" t="s">
        <v>2429</v>
      </c>
    </row>
    <row r="36" spans="1:5" ht="25.5" customHeight="1">
      <c r="A36" s="35" t="s">
        <v>2406</v>
      </c>
      <c r="B36" s="33" t="s">
        <v>2430</v>
      </c>
      <c r="C36" s="33" t="s">
        <v>2431</v>
      </c>
      <c r="D36" s="32">
        <v>12</v>
      </c>
      <c r="E36" s="32" t="s">
        <v>2432</v>
      </c>
    </row>
    <row r="37" spans="1:5" ht="25.5" customHeight="1">
      <c r="A37" s="35" t="s">
        <v>2406</v>
      </c>
      <c r="B37" s="32" t="s">
        <v>2433</v>
      </c>
      <c r="C37" s="33" t="s">
        <v>2434</v>
      </c>
      <c r="D37" s="32">
        <v>12</v>
      </c>
      <c r="E37" s="32" t="s">
        <v>2435</v>
      </c>
    </row>
    <row r="38" spans="1:5" ht="25.5" customHeight="1">
      <c r="A38" s="35" t="s">
        <v>2406</v>
      </c>
      <c r="B38" s="32" t="s">
        <v>2436</v>
      </c>
      <c r="C38" s="32" t="s">
        <v>2437</v>
      </c>
      <c r="D38" s="32">
        <v>12</v>
      </c>
      <c r="E38" s="32" t="s">
        <v>2438</v>
      </c>
    </row>
    <row r="39" spans="1:5" ht="25.5" customHeight="1">
      <c r="A39" s="35" t="s">
        <v>2406</v>
      </c>
      <c r="B39" s="32" t="s">
        <v>2439</v>
      </c>
      <c r="C39" s="33" t="s">
        <v>927</v>
      </c>
      <c r="D39" s="32">
        <v>11</v>
      </c>
      <c r="E39" s="32" t="s">
        <v>2440</v>
      </c>
    </row>
    <row r="40" spans="1:5" ht="25.5" customHeight="1">
      <c r="A40" s="35" t="s">
        <v>2406</v>
      </c>
      <c r="B40" s="32" t="s">
        <v>2441</v>
      </c>
      <c r="C40" s="33" t="s">
        <v>2442</v>
      </c>
      <c r="D40" s="32">
        <v>11</v>
      </c>
      <c r="E40" s="32" t="s">
        <v>2443</v>
      </c>
    </row>
    <row r="41" spans="1:5" ht="25.5" customHeight="1">
      <c r="A41" s="35" t="s">
        <v>2406</v>
      </c>
      <c r="B41" s="32" t="s">
        <v>1385</v>
      </c>
      <c r="C41" s="33" t="s">
        <v>2444</v>
      </c>
      <c r="D41" s="32">
        <v>11</v>
      </c>
      <c r="E41" s="32" t="s">
        <v>2445</v>
      </c>
    </row>
    <row r="42" spans="1:5" ht="25.5" customHeight="1">
      <c r="A42" s="35" t="s">
        <v>2406</v>
      </c>
      <c r="B42" s="32" t="s">
        <v>898</v>
      </c>
      <c r="C42" s="32" t="s">
        <v>899</v>
      </c>
      <c r="D42" s="32">
        <v>10</v>
      </c>
      <c r="E42" s="32" t="s">
        <v>2446</v>
      </c>
    </row>
    <row r="43" spans="1:5" ht="25.5" customHeight="1">
      <c r="A43" s="35" t="s">
        <v>2406</v>
      </c>
      <c r="B43" s="32" t="s">
        <v>2447</v>
      </c>
      <c r="C43" s="32" t="s">
        <v>2448</v>
      </c>
      <c r="D43" s="32">
        <v>8</v>
      </c>
      <c r="E43" s="36" t="s">
        <v>3221</v>
      </c>
    </row>
    <row r="44" spans="1:5" ht="25.5" customHeight="1">
      <c r="A44" s="35" t="s">
        <v>2406</v>
      </c>
      <c r="B44" s="32" t="s">
        <v>1363</v>
      </c>
      <c r="C44" s="32" t="s">
        <v>1364</v>
      </c>
      <c r="D44" s="32">
        <v>6</v>
      </c>
      <c r="E44" s="36" t="s">
        <v>2450</v>
      </c>
    </row>
    <row r="45" spans="1:5" ht="25.5" customHeight="1">
      <c r="A45" s="35" t="s">
        <v>2406</v>
      </c>
      <c r="B45" s="32" t="s">
        <v>1409</v>
      </c>
      <c r="C45" s="32" t="s">
        <v>2451</v>
      </c>
      <c r="D45" s="32"/>
      <c r="E45" s="32"/>
    </row>
    <row r="46" spans="1:5" ht="25.5" customHeight="1">
      <c r="A46" s="35" t="s">
        <v>2406</v>
      </c>
      <c r="B46" s="32" t="s">
        <v>1667</v>
      </c>
      <c r="C46" s="32" t="s">
        <v>1668</v>
      </c>
      <c r="D46" s="32"/>
      <c r="E46" s="32"/>
    </row>
    <row r="47" spans="1:5" ht="25.5" customHeight="1">
      <c r="A47" s="35" t="s">
        <v>2406</v>
      </c>
      <c r="B47" s="32" t="s">
        <v>2452</v>
      </c>
      <c r="C47" s="32" t="s">
        <v>2453</v>
      </c>
      <c r="D47" s="32"/>
      <c r="E47" s="32" t="s">
        <v>2454</v>
      </c>
    </row>
    <row r="48" spans="1:5" ht="25.5" customHeight="1">
      <c r="A48" s="35" t="s">
        <v>2406</v>
      </c>
      <c r="B48" s="32" t="s">
        <v>2455</v>
      </c>
      <c r="C48" s="32" t="s">
        <v>2456</v>
      </c>
      <c r="D48" s="32"/>
      <c r="E48" s="32"/>
    </row>
    <row r="49" spans="1:5" ht="25.5" customHeight="1">
      <c r="A49" s="35" t="s">
        <v>2406</v>
      </c>
      <c r="B49" s="32" t="s">
        <v>2457</v>
      </c>
      <c r="C49" s="32" t="s">
        <v>2458</v>
      </c>
      <c r="D49" s="32">
        <v>77</v>
      </c>
      <c r="E49" s="32" t="s">
        <v>2459</v>
      </c>
    </row>
    <row r="50" spans="1:5" ht="25.5" customHeight="1">
      <c r="A50" s="35" t="s">
        <v>2406</v>
      </c>
      <c r="B50" s="32" t="s">
        <v>40</v>
      </c>
      <c r="C50" s="32" t="s">
        <v>41</v>
      </c>
      <c r="D50" s="32">
        <v>46</v>
      </c>
      <c r="E50" s="32" t="s">
        <v>2460</v>
      </c>
    </row>
    <row r="51" spans="1:5" ht="25.5" customHeight="1">
      <c r="A51" s="35" t="s">
        <v>2406</v>
      </c>
      <c r="B51" s="32" t="s">
        <v>2461</v>
      </c>
      <c r="C51" s="33" t="s">
        <v>2462</v>
      </c>
      <c r="D51" s="32">
        <v>33</v>
      </c>
      <c r="E51" s="32" t="s">
        <v>2463</v>
      </c>
    </row>
    <row r="52" spans="1:5" ht="25.5" customHeight="1">
      <c r="A52" s="35" t="s">
        <v>2406</v>
      </c>
      <c r="B52" s="32" t="s">
        <v>2464</v>
      </c>
      <c r="C52" s="32" t="s">
        <v>2465</v>
      </c>
      <c r="D52" s="32">
        <v>26</v>
      </c>
      <c r="E52" s="32" t="s">
        <v>2466</v>
      </c>
    </row>
    <row r="53" spans="1:5" ht="25.5" customHeight="1">
      <c r="A53" s="35" t="s">
        <v>2406</v>
      </c>
      <c r="B53" s="32" t="s">
        <v>312</v>
      </c>
      <c r="C53" s="32" t="s">
        <v>2467</v>
      </c>
      <c r="D53" s="32">
        <v>26</v>
      </c>
      <c r="E53" s="32" t="s">
        <v>2468</v>
      </c>
    </row>
    <row r="54" spans="1:5" ht="25.5" customHeight="1">
      <c r="A54" s="35" t="s">
        <v>2406</v>
      </c>
      <c r="B54" s="32" t="s">
        <v>1026</v>
      </c>
      <c r="C54" s="32" t="s">
        <v>1027</v>
      </c>
      <c r="D54" s="32">
        <v>12</v>
      </c>
      <c r="E54" s="36" t="s">
        <v>2469</v>
      </c>
    </row>
    <row r="55" spans="1:5" ht="25.5" customHeight="1">
      <c r="A55" s="35" t="s">
        <v>2406</v>
      </c>
      <c r="B55" s="32" t="s">
        <v>582</v>
      </c>
      <c r="C55" s="32" t="s">
        <v>2470</v>
      </c>
      <c r="D55" s="32">
        <v>10</v>
      </c>
      <c r="E55" s="32" t="s">
        <v>2471</v>
      </c>
    </row>
    <row r="56" spans="1:5" ht="25.5" customHeight="1">
      <c r="A56" s="35" t="s">
        <v>2406</v>
      </c>
      <c r="B56" s="32" t="s">
        <v>90</v>
      </c>
      <c r="C56" s="32" t="s">
        <v>91</v>
      </c>
      <c r="D56" s="32"/>
      <c r="E56" s="32"/>
    </row>
    <row r="57" spans="1:5" ht="25.5" customHeight="1">
      <c r="A57" s="35" t="s">
        <v>2406</v>
      </c>
      <c r="B57" s="32" t="s">
        <v>568</v>
      </c>
      <c r="C57" s="32" t="s">
        <v>2472</v>
      </c>
      <c r="D57" s="32"/>
      <c r="E57" s="36" t="s">
        <v>2473</v>
      </c>
    </row>
  </sheetData>
  <sheetProtection password="823E" sheet="1" formatCells="0" formatColumns="0" formatRows="0" insertColumns="0" insertRows="0" insertHyperlinks="0" deleteColumns="0" deleteRows="0" sort="0" autoFilter="0" pivotTables="0"/>
  <hyperlinks>
    <hyperlink ref="E43" location="'CE-ACPAD'!A1" display="https://scholar.google.com/citations?hl=en&amp;view_op=list_hcore&amp;venue=cNDfl82p1FwJ.2018 "/>
    <hyperlink ref="E44" location="'CE-ACPAD'!A1" display="https://scholar.google.com.br/citations?hl=en&amp;view_op=list_hcore&amp;venue=EA9qTFRFeoUJ.2018"/>
    <hyperlink ref="E54" location="'CE-ACPAD'!A1" display="https://scholar.google.com.br/citations?hl=pt-BR&amp;view_op=list_hcore&amp;venue=kYDZP1q0-MAJ.2018"/>
    <hyperlink ref="E57" location="'CE-ACPAD'!A1" display="https://www.siam.org/Conferences/CM/Conference/cse19"/>
  </hyperlink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customWidth="1"/>
    <col min="2" max="2" width="16.28515625" bestFit="1" customWidth="1"/>
    <col min="3" max="3" width="115.140625" style="10" customWidth="1"/>
    <col min="4" max="4" width="4.140625" customWidth="1"/>
    <col min="5" max="5" width="171.5703125" style="1" customWidth="1"/>
  </cols>
  <sheetData>
    <row r="1" spans="1:25" ht="25.5" customHeight="1">
      <c r="A1" s="71" t="str">
        <f ca="1">IFERROR(__xludf.DUMMYFUNCTION("importrange(""https://docs.google.com/spreadsheets/d/15n8OVsWwfiO35o5tgedlNtdZbyPtoMRbxXmKYp8KJAM/edit#gid=553737549"",""CE-SC!A1:J150"")"),"TOP")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5.5" customHeight="1">
      <c r="A2" s="67" t="str">
        <f ca="1">IFERROR(__xludf.DUMMYFUNCTION("""COMPUTED_VALUE"""),"Top 10")</f>
        <v>Top 10</v>
      </c>
      <c r="B2" s="46" t="str">
        <f ca="1">IFERROR(__xludf.DUMMYFUNCTION("""COMPUTED_VALUE"""),"CSCW")</f>
        <v>CSCW</v>
      </c>
      <c r="C2" s="46" t="str">
        <f ca="1">IFERROR(__xludf.DUMMYFUNCTION("""COMPUTED_VALUE"""),"CSCW - ACM Conference on Computer Supported Cooperative Work &amp; Social Computing")</f>
        <v>CSCW - ACM Conference on Computer Supported Cooperative Work &amp; Social Computing</v>
      </c>
      <c r="D2" s="46">
        <f ca="1">IFERROR(__xludf.DUMMYFUNCTION("""COMPUTED_VALUE"""),61)</f>
        <v>61</v>
      </c>
      <c r="E2" s="60" t="str">
        <f ca="1">IFERROR(__xludf.DUMMYFUNCTION("""COMPUTED_VALUE"""),"https://scholar.google.com.br/citations?hl=pt-BR&amp;view_op=search_venues&amp;vq=Conference+on+Computer+Supported+Cooperative+Work+%26+Social+Computing&amp;btnG=")</f>
        <v>https://scholar.google.com.br/citations?hl=pt-BR&amp;view_op=search_venues&amp;vq=Conference+on+Computer+Supported+Cooperative+Work+%26+Social+Computing&amp;btnG=</v>
      </c>
    </row>
    <row r="3" spans="1:25" ht="25.5" customHeight="1">
      <c r="A3" s="67" t="str">
        <f ca="1">IFERROR(__xludf.DUMMYFUNCTION("""COMPUTED_VALUE"""),"Top 10")</f>
        <v>Top 10</v>
      </c>
      <c r="B3" s="46" t="str">
        <f ca="1">IFERROR(__xludf.DUMMYFUNCTION("""COMPUTED_VALUE"""),"CHI")</f>
        <v>CHI</v>
      </c>
      <c r="C3" s="46" t="str">
        <f ca="1">IFERROR(__xludf.DUMMYFUNCTION("""COMPUTED_VALUE"""),"CHI - ACM Conference on Human Factors in Computing Systems")</f>
        <v>CHI - ACM Conference on Human Factors in Computing Systems</v>
      </c>
      <c r="D3" s="46">
        <f ca="1">IFERROR(__xludf.DUMMYFUNCTION("""COMPUTED_VALUE"""),95)</f>
        <v>95</v>
      </c>
      <c r="E3" s="60" t="str">
        <f ca="1">IFERROR(__xludf.DUMMYFUNCTION("""COMPUTED_VALUE"""),"https://scholar.google.com.br/citations?hl=pt-BR&amp;view_op=search_venues&amp;vq=%C2%A0CHI&amp;btnG=")</f>
        <v>https://scholar.google.com.br/citations?hl=pt-BR&amp;view_op=search_venues&amp;vq=%C2%A0CHI&amp;btnG=</v>
      </c>
    </row>
    <row r="4" spans="1:25" ht="25.5" customHeight="1">
      <c r="A4" s="67" t="str">
        <f ca="1">IFERROR(__xludf.DUMMYFUNCTION("""COMPUTED_VALUE"""),"Top 10")</f>
        <v>Top 10</v>
      </c>
      <c r="B4" s="46" t="str">
        <f ca="1">IFERROR(__xludf.DUMMYFUNCTION("""COMPUTED_VALUE"""),"GROUP")</f>
        <v>GROUP</v>
      </c>
      <c r="C4" s="46" t="str">
        <f ca="1">IFERROR(__xludf.DUMMYFUNCTION("""COMPUTED_VALUE"""),"GROUP - International Conference on Supporting Group Work")</f>
        <v>GROUP - International Conference on Supporting Group Work</v>
      </c>
      <c r="D4" s="46">
        <f ca="1">IFERROR(__xludf.DUMMYFUNCTION("""COMPUTED_VALUE"""),14)</f>
        <v>14</v>
      </c>
      <c r="E4" s="60" t="str">
        <f ca="1">IFERROR(__xludf.DUMMYFUNCTION("""COMPUTED_VALUE"""),"https://scholar.google.com.br/citations?hl=pt-BR&amp;view_op=search_venues&amp;vq=+International+Conference+on+Supporting+Group+Work&amp;btnG=")</f>
        <v>https://scholar.google.com.br/citations?hl=pt-BR&amp;view_op=search_venues&amp;vq=+International+Conference+on+Supporting+Group+Work&amp;btnG=</v>
      </c>
    </row>
    <row r="5" spans="1:25" ht="25.5" customHeight="1">
      <c r="A5" s="67" t="str">
        <f ca="1">IFERROR(__xludf.DUMMYFUNCTION("""COMPUTED_VALUE"""),"Top 10")</f>
        <v>Top 10</v>
      </c>
      <c r="B5" s="46" t="str">
        <f ca="1">IFERROR(__xludf.DUMMYFUNCTION("""COMPUTED_VALUE"""),"ECSCW")</f>
        <v>ECSCW</v>
      </c>
      <c r="C5" s="46" t="str">
        <f ca="1">IFERROR(__xludf.DUMMYFUNCTION("""COMPUTED_VALUE"""),"ECSCW - European Conference on Computer Supported Cooperative Work (https://dblp.org/db/conf/ecscw/index.html)")</f>
        <v>ECSCW - European Conference on Computer Supported Cooperative Work (https://dblp.org/db/conf/ecscw/index.html)</v>
      </c>
      <c r="D5" s="46">
        <f ca="1">IFERROR(__xludf.DUMMYFUNCTION("""COMPUTED_VALUE"""),11)</f>
        <v>11</v>
      </c>
      <c r="E5" s="60" t="str">
        <f ca="1">IFERROR(__xludf.DUMMYFUNCTION("""COMPUTED_VALUE"""),"https://scholar.google.com.br/citations?hl=pt-BR&amp;view_op=search_venues&amp;vq=ECSCW&amp;btnG=")</f>
        <v>https://scholar.google.com.br/citations?hl=pt-BR&amp;view_op=search_venues&amp;vq=ECSCW&amp;btnG=</v>
      </c>
    </row>
    <row r="6" spans="1:25" ht="25.5" customHeight="1">
      <c r="A6" s="67" t="str">
        <f ca="1">IFERROR(__xludf.DUMMYFUNCTION("""COMPUTED_VALUE"""),"Top 10")</f>
        <v>Top 10</v>
      </c>
      <c r="B6" s="46" t="str">
        <f ca="1">IFERROR(__xludf.DUMMYFUNCTION("""COMPUTED_VALUE"""),"CSCL")</f>
        <v>CSCL</v>
      </c>
      <c r="C6" s="46" t="str">
        <f ca="1">IFERROR(__xludf.DUMMYFUNCTION("""COMPUTED_VALUE"""),"CSCL - International Conference on Computer Supported Collaborative Learning")</f>
        <v>CSCL - International Conference on Computer Supported Collaborative Learning</v>
      </c>
      <c r="D6" s="46">
        <f ca="1">IFERROR(__xludf.DUMMYFUNCTION("""COMPUTED_VALUE"""),14)</f>
        <v>14</v>
      </c>
      <c r="E6" s="60" t="str">
        <f ca="1">IFERROR(__xludf.DUMMYFUNCTION("""COMPUTED_VALUE"""),"https://scholar.google.com.br/citations?hl=pt-BR&amp;view_op=search_venues&amp;vq=+International+Conference+on+Computer+Supported+Collaborative+Learning&amp;btnG=")</f>
        <v>https://scholar.google.com.br/citations?hl=pt-BR&amp;view_op=search_venues&amp;vq=+International+Conference+on+Computer+Supported+Collaborative+Learning&amp;btnG=</v>
      </c>
    </row>
    <row r="7" spans="1:25" ht="25.5" customHeight="1">
      <c r="A7" s="67" t="str">
        <f ca="1">IFERROR(__xludf.DUMMYFUNCTION("""COMPUTED_VALUE"""),"Top 10")</f>
        <v>Top 10</v>
      </c>
      <c r="B7" s="46" t="str">
        <f ca="1">IFERROR(__xludf.DUMMYFUNCTION("""COMPUTED_VALUE"""),"CSCWD")</f>
        <v>CSCWD</v>
      </c>
      <c r="C7" s="46" t="str">
        <f ca="1">IFERROR(__xludf.DUMMYFUNCTION("""COMPUTED_VALUE"""),"CSCWD - IEEE International Conference on Computer Supported Cooperative Work in Design")</f>
        <v>CSCWD - IEEE International Conference on Computer Supported Cooperative Work in Design</v>
      </c>
      <c r="D7" s="46">
        <f ca="1">IFERROR(__xludf.DUMMYFUNCTION("""COMPUTED_VALUE"""),15)</f>
        <v>15</v>
      </c>
      <c r="E7" s="60" t="str">
        <f ca="1">IFERROR(__xludf.DUMMYFUNCTION("""COMPUTED_VALUE"""),"https://scholar.google.com.br/citations?hl=pt-BR&amp;view_op=search_venues&amp;vq=CSCWD&amp;btnG=")</f>
        <v>https://scholar.google.com.br/citations?hl=pt-BR&amp;view_op=search_venues&amp;vq=CSCWD&amp;btnG=</v>
      </c>
    </row>
    <row r="8" spans="1:25" ht="25.5" customHeight="1">
      <c r="A8" s="67" t="str">
        <f ca="1">IFERROR(__xludf.DUMMYFUNCTION("""COMPUTED_VALUE"""),"Top 10")</f>
        <v>Top 10</v>
      </c>
      <c r="B8" s="46" t="str">
        <f ca="1">IFERROR(__xludf.DUMMYFUNCTION("""COMPUTED_VALUE"""),"IEEE SMC")</f>
        <v>IEEE SMC</v>
      </c>
      <c r="C8" s="46" t="str">
        <f ca="1">IFERROR(__xludf.DUMMYFUNCTION("""COMPUTED_VALUE"""),"IEEE International Conference on Systems, Man and Cybernetics")</f>
        <v>IEEE International Conference on Systems, Man and Cybernetics</v>
      </c>
      <c r="D8" s="46">
        <f ca="1">IFERROR(__xludf.DUMMYFUNCTION("""COMPUTED_VALUE"""),29)</f>
        <v>29</v>
      </c>
      <c r="E8" s="60" t="str">
        <f ca="1">IFERROR(__xludf.DUMMYFUNCTION("""COMPUTED_VALUE"""),"https://scholar.google.com.br/citations?hl=pt-BR&amp;view_op=search_venues&amp;vq=IEEE+Conference+Systems+Man+Cybernetic&amp;btnG=")</f>
        <v>https://scholar.google.com.br/citations?hl=pt-BR&amp;view_op=search_venues&amp;vq=IEEE+Conference+Systems+Man+Cybernetic&amp;btnG=</v>
      </c>
    </row>
    <row r="9" spans="1:25" ht="25.5" customHeight="1">
      <c r="A9" s="67" t="str">
        <f ca="1">IFERROR(__xludf.DUMMYFUNCTION("""COMPUTED_VALUE"""),"Top 10")</f>
        <v>Top 10</v>
      </c>
      <c r="B9" s="46" t="str">
        <f ca="1">IFERROR(__xludf.DUMMYFUNCTION("""COMPUTED_VALUE"""),"ICWSM")</f>
        <v>ICWSM</v>
      </c>
      <c r="C9" s="46" t="str">
        <f ca="1">IFERROR(__xludf.DUMMYFUNCTION("""COMPUTED_VALUE"""),"International Conference on Web and Social Media (ICWSM)")</f>
        <v>International Conference on Web and Social Media (ICWSM)</v>
      </c>
      <c r="D9" s="46">
        <f ca="1">IFERROR(__xludf.DUMMYFUNCTION("""COMPUTED_VALUE"""),48)</f>
        <v>48</v>
      </c>
      <c r="E9" s="60" t="str">
        <f ca="1">IFERROR(__xludf.DUMMYFUNCTION("""COMPUTED_VALUE"""),"https://scholar.google.com.br/citations?hl=pt-BR&amp;view_op=search_venues&amp;vq=icwsm&amp;btnG=")</f>
        <v>https://scholar.google.com.br/citations?hl=pt-BR&amp;view_op=search_venues&amp;vq=icwsm&amp;btnG=</v>
      </c>
    </row>
    <row r="10" spans="1:25" ht="25.5" customHeight="1">
      <c r="A10" s="67" t="str">
        <f ca="1">IFERROR(__xludf.DUMMYFUNCTION("""COMPUTED_VALUE"""),"Top 10")</f>
        <v>Top 10</v>
      </c>
      <c r="B10" s="46" t="str">
        <f ca="1">IFERROR(__xludf.DUMMYFUNCTION("""COMPUTED_VALUE"""),"C&amp;T")</f>
        <v>C&amp;T</v>
      </c>
      <c r="C10" s="46" t="str">
        <f ca="1">IFERROR(__xludf.DUMMYFUNCTION("""COMPUTED_VALUE"""),"International Conference on Communities and Technologies")</f>
        <v>International Conference on Communities and Technologies</v>
      </c>
      <c r="D10" s="46">
        <f ca="1">IFERROR(__xludf.DUMMYFUNCTION("""COMPUTED_VALUE"""),12)</f>
        <v>12</v>
      </c>
      <c r="E10" s="60" t="str">
        <f ca="1">IFERROR(__xludf.DUMMYFUNCTION("""COMPUTED_VALUE"""),"https://scholar.google.com.br/citations?hl=pt-BR&amp;view_op=search_venues&amp;vq=Communities+and+Technologies&amp;btnG=")</f>
        <v>https://scholar.google.com.br/citations?hl=pt-BR&amp;view_op=search_venues&amp;vq=Communities+and+Technologies&amp;btnG=</v>
      </c>
    </row>
    <row r="11" spans="1:25" ht="25.5" customHeight="1">
      <c r="A11" s="67" t="str">
        <f ca="1">IFERROR(__xludf.DUMMYFUNCTION("""COMPUTED_VALUE"""),"Top 10")</f>
        <v>Top 10</v>
      </c>
      <c r="B11" s="46" t="str">
        <f ca="1">IFERROR(__xludf.DUMMYFUNCTION("""COMPUTED_VALUE"""),"SBSC")</f>
        <v>SBSC</v>
      </c>
      <c r="C11" s="46" t="str">
        <f ca="1">IFERROR(__xludf.DUMMYFUNCTION("""COMPUTED_VALUE"""),"SBSC - Simpósio Brasileiro de Sistemas Colaborativos")</f>
        <v>SBSC - Simpósio Brasileiro de Sistemas Colaborativos</v>
      </c>
      <c r="D11" s="46"/>
      <c r="E11" s="60"/>
    </row>
    <row r="12" spans="1:25" ht="25.5" customHeight="1">
      <c r="A12" s="70" t="str">
        <f ca="1">IFERROR(__xludf.DUMMYFUNCTION("""COMPUTED_VALUE"""),"Top 20")</f>
        <v>Top 20</v>
      </c>
      <c r="B12" s="46" t="str">
        <f ca="1">IFERROR(__xludf.DUMMYFUNCTION("""COMPUTED_VALUE"""),"IHC")</f>
        <v>IHC</v>
      </c>
      <c r="C12" s="46" t="str">
        <f ca="1">IFERROR(__xludf.DUMMYFUNCTION("""COMPUTED_VALUE"""),"IHC - Simpósio Brasileiro sobre Fatores Humanos em Sistemas Computacionais")</f>
        <v>IHC - Simpósio Brasileiro sobre Fatores Humanos em Sistemas Computacionais</v>
      </c>
      <c r="D12" s="44"/>
      <c r="E12" s="81"/>
    </row>
    <row r="13" spans="1:25" ht="25.5" customHeight="1">
      <c r="A13" s="70" t="str">
        <f ca="1">IFERROR(__xludf.DUMMYFUNCTION("""COMPUTED_VALUE"""),"Top 20")</f>
        <v>Top 20</v>
      </c>
      <c r="B13" s="46" t="str">
        <f ca="1">IFERROR(__xludf.DUMMYFUNCTION("""COMPUTED_VALUE"""),"CHASE")</f>
        <v>CHASE</v>
      </c>
      <c r="C13" s="46" t="str">
        <f ca="1">IFERROR(__xludf.DUMMYFUNCTION("""COMPUTED_VALUE"""),"CHASE - International Workshop on Cooperative and Human Aspects of Software Engineering")</f>
        <v>CHASE - International Workshop on Cooperative and Human Aspects of Software Engineering</v>
      </c>
      <c r="D13" s="46">
        <f ca="1">IFERROR(__xludf.DUMMYFUNCTION("""COMPUTED_VALUE"""),13)</f>
        <v>13</v>
      </c>
      <c r="E13" s="60" t="str">
        <f ca="1">IFERROR(__xludf.DUMMYFUNCTION("""COMPUTED_VALUE"""),"https://scholar.google.com.br/citations?hl=pt-BR&amp;view_op=search_venues&amp;vq=International+Workshop+on+Cooperative+and+Human+Aspects+of+Software+Engineering&amp;btnG=")</f>
        <v>https://scholar.google.com.br/citations?hl=pt-BR&amp;view_op=search_venues&amp;vq=International+Workshop+on+Cooperative+and+Human+Aspects+of+Software+Engineering&amp;btnG=</v>
      </c>
    </row>
    <row r="14" spans="1:25" ht="25.5" customHeight="1">
      <c r="A14" s="70" t="str">
        <f ca="1">IFERROR(__xludf.DUMMYFUNCTION("""COMPUTED_VALUE"""),"Top 20")</f>
        <v>Top 20</v>
      </c>
      <c r="B14" s="46" t="str">
        <f ca="1">IFERROR(__xludf.DUMMYFUNCTION("""COMPUTED_VALUE"""),"HCOMP")</f>
        <v>HCOMP</v>
      </c>
      <c r="C14" s="46" t="str">
        <f ca="1">IFERROR(__xludf.DUMMYFUNCTION("""COMPUTED_VALUE"""),"AAAI Conference on Human Computation and Crowdsourcing")</f>
        <v>AAAI Conference on Human Computation and Crowdsourcing</v>
      </c>
      <c r="D14" s="46">
        <f ca="1">IFERROR(__xludf.DUMMYFUNCTION("""COMPUTED_VALUE"""),21)</f>
        <v>21</v>
      </c>
      <c r="E14" s="60" t="str">
        <f ca="1">IFERROR(__xludf.DUMMYFUNCTION("""COMPUTED_VALUE"""),"https://scholar.google.com.br/citations?hl=pt-BR&amp;view_op=search_venues&amp;vq=AAAI+Conference+on+Human+Computation+and+Crowdsourcing&amp;btnG=")</f>
        <v>https://scholar.google.com.br/citations?hl=pt-BR&amp;view_op=search_venues&amp;vq=AAAI+Conference+on+Human+Computation+and+Crowdsourcing&amp;btnG=</v>
      </c>
    </row>
    <row r="15" spans="1:25" ht="25.5" customHeight="1">
      <c r="A15" s="70" t="str">
        <f ca="1">IFERROR(__xludf.DUMMYFUNCTION("""COMPUTED_VALUE"""),"Top 20")</f>
        <v>Top 20</v>
      </c>
      <c r="B15" s="46" t="str">
        <f ca="1">IFERROR(__xludf.DUMMYFUNCTION("""COMPUTED_VALUE"""),"CI")</f>
        <v>CI</v>
      </c>
      <c r="C15" s="46" t="str">
        <f ca="1">IFERROR(__xludf.DUMMYFUNCTION("""COMPUTED_VALUE"""),"ACM Collective Intelligence Conference")</f>
        <v>ACM Collective Intelligence Conference</v>
      </c>
      <c r="D15" s="46"/>
      <c r="E15" s="60"/>
    </row>
    <row r="16" spans="1:25" ht="25.5" customHeight="1">
      <c r="A16" s="70" t="str">
        <f ca="1">IFERROR(__xludf.DUMMYFUNCTION("""COMPUTED_VALUE"""),"Top 20")</f>
        <v>Top 20</v>
      </c>
      <c r="B16" s="46" t="str">
        <f ca="1">IFERROR(__xludf.DUMMYFUNCTION("""COMPUTED_VALUE"""),"HICSS")</f>
        <v>HICSS</v>
      </c>
      <c r="C16" s="46" t="str">
        <f ca="1">IFERROR(__xludf.DUMMYFUNCTION("""COMPUTED_VALUE"""),"Hawaii International Conference on System Sciences")</f>
        <v>Hawaii International Conference on System Sciences</v>
      </c>
      <c r="D16" s="46">
        <f ca="1">IFERROR(__xludf.DUMMYFUNCTION("""COMPUTED_VALUE"""),45)</f>
        <v>45</v>
      </c>
      <c r="E16" s="60" t="str">
        <f ca="1">IFERROR(__xludf.DUMMYFUNCTION("""COMPUTED_VALUE"""),"https://scholar.google.com.br/citations?hl=pt-BR&amp;view_op=search_venues&amp;vq=Hawaii+International+Conference+on+System+Sciences&amp;btnG=")</f>
        <v>https://scholar.google.com.br/citations?hl=pt-BR&amp;view_op=search_venues&amp;vq=Hawaii+International+Conference+on+System+Sciences&amp;btnG=</v>
      </c>
    </row>
    <row r="17" spans="1:5" ht="25.5" customHeight="1">
      <c r="A17" s="70" t="str">
        <f ca="1">IFERROR(__xludf.DUMMYFUNCTION("""COMPUTED_VALUE"""),"Top 20")</f>
        <v>Top 20</v>
      </c>
      <c r="B17" s="46" t="str">
        <f ca="1">IFERROR(__xludf.DUMMYFUNCTION("""COMPUTED_VALUE"""),"CollaborateCom")</f>
        <v>CollaborateCom</v>
      </c>
      <c r="C17" s="46" t="str">
        <f ca="1">IFERROR(__xludf.DUMMYFUNCTION("""COMPUTED_VALUE"""),"International Conference on Collaborative Computing: Networking, Applications and Worksharing (CollaborateCom)")</f>
        <v>International Conference on Collaborative Computing: Networking, Applications and Worksharing (CollaborateCom)</v>
      </c>
      <c r="D17" s="46">
        <f ca="1">IFERROR(__xludf.DUMMYFUNCTION("""COMPUTED_VALUE"""),7)</f>
        <v>7</v>
      </c>
      <c r="E17" s="60" t="str">
        <f ca="1">IFERROR(__xludf.DUMMYFUNCTION("""COMPUTED_VALUE"""),"https://scholar.google.com.br/citations?hl=pt-BR&amp;view_op=search_venues&amp;vq=collaboratecom&amp;btnG=")</f>
        <v>https://scholar.google.com.br/citations?hl=pt-BR&amp;view_op=search_venues&amp;vq=collaboratecom&amp;btnG=</v>
      </c>
    </row>
    <row r="18" spans="1:5" ht="25.5" customHeight="1">
      <c r="A18" s="70" t="str">
        <f ca="1">IFERROR(__xludf.DUMMYFUNCTION("""COMPUTED_VALUE"""),"Top 20")</f>
        <v>Top 20</v>
      </c>
      <c r="B18" s="46" t="str">
        <f ca="1">IFERROR(__xludf.DUMMYFUNCTION("""COMPUTED_VALUE"""),"CDVE")</f>
        <v>CDVE</v>
      </c>
      <c r="C18" s="46" t="str">
        <f ca="1">IFERROR(__xludf.DUMMYFUNCTION("""COMPUTED_VALUE"""),"CDVE - International Conference on Cooperative Design, Visualization, and Engineering")</f>
        <v>CDVE - International Conference on Cooperative Design, Visualization, and Engineering</v>
      </c>
      <c r="D18" s="46">
        <f ca="1">IFERROR(__xludf.DUMMYFUNCTION("""COMPUTED_VALUE"""),6)</f>
        <v>6</v>
      </c>
      <c r="E18" s="60" t="str">
        <f ca="1">IFERROR(__xludf.DUMMYFUNCTION("""COMPUTED_VALUE"""),"https://scholar.google.com.br/citations?hl=pt-BR&amp;view_op=search_venues&amp;vq=Cooperative+Design%2C+Visualization%2C+and+Engineering&amp;btnG=")</f>
        <v>https://scholar.google.com.br/citations?hl=pt-BR&amp;view_op=search_venues&amp;vq=Cooperative+Design%2C+Visualization%2C+and+Engineering&amp;btnG=</v>
      </c>
    </row>
    <row r="19" spans="1:5" ht="25.5" customHeight="1">
      <c r="A19" s="70" t="str">
        <f ca="1">IFERROR(__xludf.DUMMYFUNCTION("""COMPUTED_VALUE"""),"Top 20")</f>
        <v>Top 20</v>
      </c>
      <c r="B19" s="46" t="str">
        <f ca="1">IFERROR(__xludf.DUMMYFUNCTION("""COMPUTED_VALUE"""),"INCOS")</f>
        <v>INCOS</v>
      </c>
      <c r="C19" s="46" t="str">
        <f ca="1">IFERROR(__xludf.DUMMYFUNCTION("""COMPUTED_VALUE"""),"INCOS - International Conference on Intelligent Networking and Collaborative Systems")</f>
        <v>INCOS - International Conference on Intelligent Networking and Collaborative Systems</v>
      </c>
      <c r="D19" s="46">
        <f ca="1">IFERROR(__xludf.DUMMYFUNCTION("""COMPUTED_VALUE"""),13)</f>
        <v>13</v>
      </c>
      <c r="E19" s="60" t="str">
        <f ca="1">IFERROR(__xludf.DUMMYFUNCTION("""COMPUTED_VALUE"""),"https://scholar.google.com.br/citations?hl=pt-BR&amp;view_op=search_venues&amp;vq=+International+Conference+on+Intelligent+Networking+and+Collaborative+Systems&amp;btnG=")</f>
        <v>https://scholar.google.com.br/citations?hl=pt-BR&amp;view_op=search_venues&amp;vq=+International+Conference+on+Intelligent+Networking+and+Collaborative+Systems&amp;btnG=</v>
      </c>
    </row>
    <row r="20" spans="1:5" ht="25.5" customHeight="1">
      <c r="A20" s="70" t="str">
        <f ca="1">IFERROR(__xludf.DUMMYFUNCTION("""COMPUTED_VALUE"""),"Top 20")</f>
        <v>Top 20</v>
      </c>
      <c r="B20" s="46" t="str">
        <f ca="1">IFERROR(__xludf.DUMMYFUNCTION("""COMPUTED_VALUE"""),"CollabTech")</f>
        <v>CollabTech</v>
      </c>
      <c r="C20" s="46" t="str">
        <f ca="1">IFERROR(__xludf.DUMMYFUNCTION("""COMPUTED_VALUE"""),"International Conference on Collaboration Technologies and Social Computing")</f>
        <v>International Conference on Collaboration Technologies and Social Computing</v>
      </c>
      <c r="D20" s="46"/>
      <c r="E20" s="60"/>
    </row>
    <row r="21" spans="1:5" ht="25.5" customHeight="1">
      <c r="A21" s="70" t="str">
        <f ca="1">IFERROR(__xludf.DUMMYFUNCTION("""COMPUTED_VALUE"""),"Top 20")</f>
        <v>Top 20</v>
      </c>
      <c r="B21" s="46" t="str">
        <f ca="1">IFERROR(__xludf.DUMMYFUNCTION("""COMPUTED_VALUE"""),"OpenSym")</f>
        <v>OpenSym</v>
      </c>
      <c r="C21" s="46" t="str">
        <f ca="1">IFERROR(__xludf.DUMMYFUNCTION("""COMPUTED_VALUE"""),"International Symposium on Open Collaboration")</f>
        <v>International Symposium on Open Collaboration</v>
      </c>
      <c r="D21" s="46">
        <f ca="1">IFERROR(__xludf.DUMMYFUNCTION("""COMPUTED_VALUE"""),11)</f>
        <v>11</v>
      </c>
      <c r="E21" s="60" t="str">
        <f ca="1">IFERROR(__xludf.DUMMYFUNCTION("""COMPUTED_VALUE"""),"https://scholar.google.com.br/citations?hl=pt-BR&amp;view_op=search_venues&amp;vq=International+Symposium+on+Open+Collaboration&amp;btnG=")</f>
        <v>https://scholar.google.com.br/citations?hl=pt-BR&amp;view_op=search_venues&amp;vq=International+Symposium+on+Open+Collaboration&amp;btnG=</v>
      </c>
    </row>
    <row r="22" spans="1:5" ht="25.5" customHeight="1">
      <c r="A22" s="73" t="str">
        <f ca="1">IFERROR(__xludf.DUMMYFUNCTION("""COMPUTED_VALUE"""),"Eventos da Área")</f>
        <v>Eventos da Área</v>
      </c>
      <c r="B22" s="46" t="str">
        <f ca="1">IFERROR(__xludf.DUMMYFUNCTION("""COMPUTED_VALUE"""),"TEI")</f>
        <v>TEI</v>
      </c>
      <c r="C22" s="46" t="str">
        <f ca="1">IFERROR(__xludf.DUMMYFUNCTION("""COMPUTED_VALUE"""),"International Conference on Tangible, Embedded, and Embodied Interaction")</f>
        <v>International Conference on Tangible, Embedded, and Embodied Interaction</v>
      </c>
      <c r="D22" s="46">
        <f ca="1">IFERROR(__xludf.DUMMYFUNCTION("""COMPUTED_VALUE"""),27)</f>
        <v>27</v>
      </c>
      <c r="E22" s="60" t="str">
        <f ca="1">IFERROR(__xludf.DUMMYFUNCTION("""COMPUTED_VALUE"""),"https://scholar.google.com.br/citations?hl=pt-BR&amp;view_op=search_venues&amp;vq=Tangible&amp;btnG=")</f>
        <v>https://scholar.google.com.br/citations?hl=pt-BR&amp;view_op=search_venues&amp;vq=Tangible&amp;btnG=</v>
      </c>
    </row>
    <row r="23" spans="1:5" ht="25.5" customHeight="1">
      <c r="A23" s="73" t="str">
        <f ca="1">IFERROR(__xludf.DUMMYFUNCTION("""COMPUTED_VALUE"""),"Eventos da Área")</f>
        <v>Eventos da Área</v>
      </c>
      <c r="B23" s="46" t="str">
        <f ca="1">IFERROR(__xludf.DUMMYFUNCTION("""COMPUTED_VALUE"""),"SOCIALCOM")</f>
        <v>SOCIALCOM</v>
      </c>
      <c r="C23" s="46" t="str">
        <f ca="1">IFERROR(__xludf.DUMMYFUNCTION("""COMPUTED_VALUE"""),"SocialCom - International Conference on Social Computing")</f>
        <v>SocialCom - International Conference on Social Computing</v>
      </c>
      <c r="D23" s="46"/>
      <c r="E23" s="60"/>
    </row>
    <row r="24" spans="1:5" ht="25.5" customHeight="1">
      <c r="A24" s="73" t="str">
        <f ca="1">IFERROR(__xludf.DUMMYFUNCTION("""COMPUTED_VALUE"""),"Eventos da Área")</f>
        <v>Eventos da Área</v>
      </c>
      <c r="B24" s="46" t="str">
        <f ca="1">IFERROR(__xludf.DUMMYFUNCTION("""COMPUTED_VALUE"""),"CoopIS")</f>
        <v>CoopIS</v>
      </c>
      <c r="C24" s="46" t="str">
        <f ca="1">IFERROR(__xludf.DUMMYFUNCTION("""COMPUTED_VALUE"""),"CoopIS - International Conference on Cooperative Information Systems")</f>
        <v>CoopIS - International Conference on Cooperative Information Systems</v>
      </c>
      <c r="D24" s="46"/>
      <c r="E24" s="60"/>
    </row>
    <row r="25" spans="1:5" ht="25.5" customHeight="1">
      <c r="A25" s="73" t="str">
        <f ca="1">IFERROR(__xludf.DUMMYFUNCTION("""COMPUTED_VALUE"""),"Eventos da Área")</f>
        <v>Eventos da Área</v>
      </c>
      <c r="B25" s="46" t="str">
        <f ca="1">IFERROR(__xludf.DUMMYFUNCTION("""COMPUTED_VALUE"""),"CLIHC")</f>
        <v>CLIHC</v>
      </c>
      <c r="C25" s="46" t="str">
        <f ca="1">IFERROR(__xludf.DUMMYFUNCTION("""COMPUTED_VALUE"""),"Latin American Conference on Human Computer Interaction")</f>
        <v>Latin American Conference on Human Computer Interaction</v>
      </c>
      <c r="D25" s="46"/>
      <c r="E25" s="60"/>
    </row>
    <row r="26" spans="1:5" ht="25.5" customHeight="1">
      <c r="A26" s="73" t="str">
        <f ca="1">IFERROR(__xludf.DUMMYFUNCTION("""COMPUTED_VALUE"""),"Eventos da Área")</f>
        <v>Eventos da Área</v>
      </c>
      <c r="B26" s="46" t="str">
        <f ca="1">IFERROR(__xludf.DUMMYFUNCTION("""COMPUTED_VALUE"""),"WETICE")</f>
        <v>WETICE</v>
      </c>
      <c r="C26" s="46" t="str">
        <f ca="1">IFERROR(__xludf.DUMMYFUNCTION("""COMPUTED_VALUE"""),"IEEE International Conference on Enabling Technologies: Infrastructure for Collaborative Enterprises")</f>
        <v>IEEE International Conference on Enabling Technologies: Infrastructure for Collaborative Enterprises</v>
      </c>
      <c r="D26" s="46">
        <f ca="1">IFERROR(__xludf.DUMMYFUNCTION("""COMPUTED_VALUE"""),14)</f>
        <v>14</v>
      </c>
      <c r="E26" s="60" t="str">
        <f ca="1">IFERROR(__xludf.DUMMYFUNCTION("""COMPUTED_VALUE"""),"https://scholar.google.com.br/citations?hl=pt-BR&amp;view_op=list_hcore&amp;venue=kYDZP1q0-MAJ.2020")</f>
        <v>https://scholar.google.com.br/citations?hl=pt-BR&amp;view_op=list_hcore&amp;venue=kYDZP1q0-MAJ.2020</v>
      </c>
    </row>
    <row r="27" spans="1:5" ht="25.5" customHeight="1">
      <c r="A27" s="73" t="str">
        <f ca="1">IFERROR(__xludf.DUMMYFUNCTION("""COMPUTED_VALUE"""),"Eventos da Área")</f>
        <v>Eventos da Área</v>
      </c>
      <c r="B27" s="46" t="str">
        <f ca="1">IFERROR(__xludf.DUMMYFUNCTION("""COMPUTED_VALUE"""),"CRIWG")</f>
        <v>CRIWG</v>
      </c>
      <c r="C27" s="46" t="str">
        <f ca="1">IFERROR(__xludf.DUMMYFUNCTION("""COMPUTED_VALUE"""),"CRIWG - International Conference on Collaboration and Technology")</f>
        <v>CRIWG - International Conference on Collaboration and Technology</v>
      </c>
      <c r="D27" s="46">
        <f ca="1">IFERROR(__xludf.DUMMYFUNCTION("""COMPUTED_VALUE"""),8)</f>
        <v>8</v>
      </c>
      <c r="E27" s="60" t="str">
        <f ca="1">IFERROR(__xludf.DUMMYFUNCTION("""COMPUTED_VALUE"""),"https://scholar.google.com.br/citations?hl=pt-BR&amp;view_op=search_venues&amp;vq=+CRIWG&amp;btnG=")</f>
        <v>https://scholar.google.com.br/citations?hl=pt-BR&amp;view_op=search_venues&amp;vq=+CRIWG&amp;btnG=</v>
      </c>
    </row>
  </sheetData>
  <hyperlinks>
    <hyperlink ref="E2" r:id="rId1" display="https://scholar.google.com.br/citations?hl=pt-BR&amp;view_op=search_venues&amp;vq=Conference+on+Computer+Supported+Cooperative+Work+%26+Social+Computing&amp;btnG="/>
    <hyperlink ref="E3" r:id="rId2" display="https://scholar.google.com.br/citations?hl=pt-BR&amp;view_op=search_venues&amp;vq=%C2%A0CHI&amp;btnG="/>
    <hyperlink ref="E4" r:id="rId3" display="https://scholar.google.com.br/citations?hl=pt-BR&amp;view_op=search_venues&amp;vq=+International+Conference+on+Supporting+Group+Work&amp;btnG="/>
    <hyperlink ref="E5" r:id="rId4" display="https://scholar.google.com.br/citations?hl=pt-BR&amp;view_op=search_venues&amp;vq=ECSCW&amp;btnG="/>
    <hyperlink ref="E6" r:id="rId5" display="https://scholar.google.com.br/citations?hl=pt-BR&amp;view_op=search_venues&amp;vq=+International+Conference+on+Computer+Supported+Collaborative+Learning&amp;btnG="/>
    <hyperlink ref="E7" r:id="rId6" display="https://scholar.google.com.br/citations?hl=pt-BR&amp;view_op=search_venues&amp;vq=CSCWD&amp;btnG="/>
    <hyperlink ref="E8" r:id="rId7" display="https://scholar.google.com.br/citations?hl=pt-BR&amp;view_op=search_venues&amp;vq=IEEE+Conference+Systems+Man+Cybernetic&amp;btnG="/>
    <hyperlink ref="E9" r:id="rId8" display="https://scholar.google.com.br/citations?hl=pt-BR&amp;view_op=search_venues&amp;vq=icwsm&amp;btnG="/>
    <hyperlink ref="E10" r:id="rId9" display="https://scholar.google.com.br/citations?hl=pt-BR&amp;view_op=search_venues&amp;vq=Communities+and+Technologies&amp;btnG="/>
    <hyperlink ref="E13" r:id="rId10" display="https://scholar.google.com.br/citations?hl=pt-BR&amp;view_op=search_venues&amp;vq=International+Workshop+on+Cooperative+and+Human+Aspects+of+Software+Engineering&amp;btnG="/>
    <hyperlink ref="E14" r:id="rId11" display="https://scholar.google.com.br/citations?hl=pt-BR&amp;view_op=search_venues&amp;vq=AAAI+Conference+on+Human+Computation+and+Crowdsourcing&amp;btnG="/>
    <hyperlink ref="E16" r:id="rId12" display="https://scholar.google.com.br/citations?hl=pt-BR&amp;view_op=search_venues&amp;vq=Hawaii+International+Conference+on+System+Sciences&amp;btnG="/>
    <hyperlink ref="E17" r:id="rId13" display="https://scholar.google.com.br/citations?hl=pt-BR&amp;view_op=search_venues&amp;vq=collaboratecom&amp;btnG="/>
    <hyperlink ref="E18" r:id="rId14" display="https://scholar.google.com.br/citations?hl=pt-BR&amp;view_op=search_venues&amp;vq=Cooperative+Design%2C+Visualization%2C+and+Engineering&amp;btnG="/>
    <hyperlink ref="E19" r:id="rId15" display="https://scholar.google.com.br/citations?hl=pt-BR&amp;view_op=search_venues&amp;vq=+International+Conference+on+Intelligent+Networking+and+Collaborative+Systems&amp;btnG="/>
    <hyperlink ref="E21" r:id="rId16" display="https://scholar.google.com.br/citations?hl=pt-BR&amp;view_op=search_venues&amp;vq=International+Symposium+on+Open+Collaboration&amp;btnG="/>
    <hyperlink ref="E22" r:id="rId17" display="https://scholar.google.com.br/citations?hl=pt-BR&amp;view_op=search_venues&amp;vq=Tangible&amp;btnG="/>
    <hyperlink ref="E26" r:id="rId18" display="https://scholar.google.com.br/citations?hl=pt-BR&amp;view_op=list_hcore&amp;venue=kYDZP1q0-MAJ.2020"/>
    <hyperlink ref="E27" r:id="rId19" display="https://scholar.google.com.br/citations?hl=pt-BR&amp;view_op=search_venues&amp;vq=+CRIWG&amp;btnG=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0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customWidth="1"/>
    <col min="2" max="2" width="13.28515625" bestFit="1" customWidth="1"/>
    <col min="3" max="3" width="85.5703125" customWidth="1"/>
    <col min="4" max="4" width="4.5703125" customWidth="1"/>
    <col min="5" max="5" width="98.28515625" customWidth="1"/>
  </cols>
  <sheetData>
    <row r="1" spans="1:25" ht="25.5" customHeight="1">
      <c r="A1" s="71" t="str">
        <f ca="1">IFERROR(__xludf.DUMMYFUNCTION("importrange(""https://docs.google.com/spreadsheets/d/1Mj5mpYQBIvzNROMVP62SLdGc4Ru9KOnNXNbVbhRz0y0/edit#gid=204901589"",""CE-WEBMEDIA!A1:J150"")"),"TOP")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5.5" customHeight="1">
      <c r="A2" s="67" t="str">
        <f ca="1">IFERROR(__xludf.DUMMYFUNCTION("""COMPUTED_VALUE"""),"Top 10")</f>
        <v>Top 10</v>
      </c>
      <c r="B2" s="60" t="str">
        <f ca="1">IFERROR(__xludf.DUMMYFUNCTION("""COMPUTED_VALUE"""),"WWW")</f>
        <v>WWW</v>
      </c>
      <c r="C2" s="60" t="str">
        <f ca="1">IFERROR(__xludf.DUMMYFUNCTION("""COMPUTED_VALUE"""),"International World Wide Web Conferences")</f>
        <v>International World Wide Web Conferences</v>
      </c>
      <c r="D2" s="60">
        <f ca="1">IFERROR(__xludf.DUMMYFUNCTION("""COMPUTED_VALUE"""),80)</f>
        <v>80</v>
      </c>
      <c r="E2" s="48" t="str">
        <f ca="1">IFERROR(__xludf.DUMMYFUNCTION("""COMPUTED_VALUE"""),"https://scholar.google.com.br/citations?hl=en&amp;view_op=list_hcore&amp;venue=VtCeQ7ShDloJ.2020")</f>
        <v>https://scholar.google.com.br/citations?hl=en&amp;view_op=list_hcore&amp;venue=VtCeQ7ShDloJ.2020</v>
      </c>
    </row>
    <row r="3" spans="1:25" ht="25.5" customHeight="1">
      <c r="A3" s="67" t="str">
        <f ca="1">IFERROR(__xludf.DUMMYFUNCTION("""COMPUTED_VALUE"""),"Top 10")</f>
        <v>Top 10</v>
      </c>
      <c r="B3" s="60" t="str">
        <f ca="1">IFERROR(__xludf.DUMMYFUNCTION("""COMPUTED_VALUE"""),"MM")</f>
        <v>MM</v>
      </c>
      <c r="C3" s="60" t="str">
        <f ca="1">IFERROR(__xludf.DUMMYFUNCTION("""COMPUTED_VALUE"""),"ACM Multimedia Conference")</f>
        <v>ACM Multimedia Conference</v>
      </c>
      <c r="D3" s="60">
        <f ca="1">IFERROR(__xludf.DUMMYFUNCTION("""COMPUTED_VALUE"""),58)</f>
        <v>58</v>
      </c>
      <c r="E3" s="48" t="str">
        <f ca="1">IFERROR(__xludf.DUMMYFUNCTION("""COMPUTED_VALUE"""),"https://scholar.google.com/citations?hl=pt-BR&amp;view_op=list_hcore&amp;venue=vKMrxyJUpv0J.2020")</f>
        <v>https://scholar.google.com/citations?hl=pt-BR&amp;view_op=list_hcore&amp;venue=vKMrxyJUpv0J.2020</v>
      </c>
    </row>
    <row r="4" spans="1:25" ht="25.5" customHeight="1">
      <c r="A4" s="67" t="str">
        <f ca="1">IFERROR(__xludf.DUMMYFUNCTION("""COMPUTED_VALUE"""),"Top 10")</f>
        <v>Top 10</v>
      </c>
      <c r="B4" s="60" t="str">
        <f ca="1">IFERROR(__xludf.DUMMYFUNCTION("""COMPUTED_VALUE"""),"Ubicomp")</f>
        <v>Ubicomp</v>
      </c>
      <c r="C4" s="60" t="str">
        <f ca="1">IFERROR(__xludf.DUMMYFUNCTION("""COMPUTED_VALUE"""),"Pervasive and Ubiquitous Computing")</f>
        <v>Pervasive and Ubiquitous Computing</v>
      </c>
      <c r="D4" s="60">
        <f ca="1">IFERROR(__xludf.DUMMYFUNCTION("""COMPUTED_VALUE"""),54)</f>
        <v>54</v>
      </c>
      <c r="E4" s="48" t="str">
        <f ca="1">IFERROR(__xludf.DUMMYFUNCTION("""COMPUTED_VALUE"""),"https://scholar.google.com/citations?hl=pt-BR&amp;view_op=list_hcore&amp;venue=K6EHRjh8bWIJ.2020")</f>
        <v>https://scholar.google.com/citations?hl=pt-BR&amp;view_op=list_hcore&amp;venue=K6EHRjh8bWIJ.2020</v>
      </c>
    </row>
    <row r="5" spans="1:25" ht="25.5" customHeight="1">
      <c r="A5" s="67" t="str">
        <f ca="1">IFERROR(__xludf.DUMMYFUNCTION("""COMPUTED_VALUE"""),"Top 10")</f>
        <v>Top 10</v>
      </c>
      <c r="B5" s="60" t="str">
        <f ca="1">IFERROR(__xludf.DUMMYFUNCTION("""COMPUTED_VALUE"""),"WSDM")</f>
        <v>WSDM</v>
      </c>
      <c r="C5" s="60" t="str">
        <f ca="1">IFERROR(__xludf.DUMMYFUNCTION("""COMPUTED_VALUE"""),"ACM International Conference on Web Search and Data Mining")</f>
        <v>ACM International Conference on Web Search and Data Mining</v>
      </c>
      <c r="D5" s="60">
        <f ca="1">IFERROR(__xludf.DUMMYFUNCTION("""COMPUTED_VALUE"""),54)</f>
        <v>54</v>
      </c>
      <c r="E5" s="48" t="str">
        <f ca="1">IFERROR(__xludf.DUMMYFUNCTION("""COMPUTED_VALUE"""),"https://scholar.google.com/citations?hl=pt-BR&amp;view_op=list_hcore&amp;venue=6AbX1YWluE4J.2020")</f>
        <v>https://scholar.google.com/citations?hl=pt-BR&amp;view_op=list_hcore&amp;venue=6AbX1YWluE4J.2020</v>
      </c>
    </row>
    <row r="6" spans="1:25" ht="25.5" customHeight="1">
      <c r="A6" s="67" t="str">
        <f ca="1">IFERROR(__xludf.DUMMYFUNCTION("""COMPUTED_VALUE"""),"Top 10")</f>
        <v>Top 10</v>
      </c>
      <c r="B6" s="60" t="str">
        <f ca="1">IFERROR(__xludf.DUMMYFUNCTION("""COMPUTED_VALUE"""),"RecSys")</f>
        <v>RecSys</v>
      </c>
      <c r="C6" s="60" t="str">
        <f ca="1">IFERROR(__xludf.DUMMYFUNCTION("""COMPUTED_VALUE"""),"ACM Conference on Recommender Systems")</f>
        <v>ACM Conference on Recommender Systems</v>
      </c>
      <c r="D6" s="60">
        <f ca="1">IFERROR(__xludf.DUMMYFUNCTION("""COMPUTED_VALUE"""),46)</f>
        <v>46</v>
      </c>
      <c r="E6" s="48" t="str">
        <f ca="1">IFERROR(__xludf.DUMMYFUNCTION("""COMPUTED_VALUE"""),"https://scholar.google.com/citations?hl=pt-BR&amp;view_op=list_hcore&amp;venue=4-w_STT7RmEJ.2020")</f>
        <v>https://scholar.google.com/citations?hl=pt-BR&amp;view_op=list_hcore&amp;venue=4-w_STT7RmEJ.2020</v>
      </c>
    </row>
    <row r="7" spans="1:25" ht="25.5" customHeight="1">
      <c r="A7" s="67" t="str">
        <f ca="1">IFERROR(__xludf.DUMMYFUNCTION("""COMPUTED_VALUE"""),"Top 10")</f>
        <v>Top 10</v>
      </c>
      <c r="B7" s="60" t="str">
        <f ca="1">IFERROR(__xludf.DUMMYFUNCTION("""COMPUTED_VALUE"""),"WebMedia")</f>
        <v>WebMedia</v>
      </c>
      <c r="C7" s="60" t="str">
        <f ca="1">IFERROR(__xludf.DUMMYFUNCTION("""COMPUTED_VALUE"""),"Brazilian Symposium on Multimedia and Web")</f>
        <v>Brazilian Symposium on Multimedia and Web</v>
      </c>
      <c r="D7" s="60">
        <f ca="1">IFERROR(__xludf.DUMMYFUNCTION("""COMPUTED_VALUE"""),10)</f>
        <v>10</v>
      </c>
      <c r="E7" s="48" t="str">
        <f ca="1">IFERROR(__xludf.DUMMYFUNCTION("""COMPUTED_VALUE"""),"https://scholar.google.com.br/citations?hl=en&amp;view_op=list_hcore&amp;venue=EL-07Zfxn_kJ.2020")</f>
        <v>https://scholar.google.com.br/citations?hl=en&amp;view_op=list_hcore&amp;venue=EL-07Zfxn_kJ.2020</v>
      </c>
    </row>
    <row r="8" spans="1:25" ht="25.5" customHeight="1">
      <c r="A8" s="67" t="str">
        <f ca="1">IFERROR(__xludf.DUMMYFUNCTION("""COMPUTED_VALUE"""),"Top 10")</f>
        <v>Top 10</v>
      </c>
      <c r="B8" s="60" t="str">
        <f ca="1">IFERROR(__xludf.DUMMYFUNCTION("""COMPUTED_VALUE"""),"ICME")</f>
        <v>ICME</v>
      </c>
      <c r="C8" s="60" t="str">
        <f ca="1">IFERROR(__xludf.DUMMYFUNCTION("""COMPUTED_VALUE"""),"International Conference on Multimedia and Expo")</f>
        <v>International Conference on Multimedia and Expo</v>
      </c>
      <c r="D8" s="60">
        <f ca="1">IFERROR(__xludf.DUMMYFUNCTION("""COMPUTED_VALUE"""),30)</f>
        <v>30</v>
      </c>
      <c r="E8" s="48" t="str">
        <f ca="1">IFERROR(__xludf.DUMMYFUNCTION("""COMPUTED_VALUE"""),"https://scholar.google.com/citations?hl=pt-BR&amp;view_op=list_hcore&amp;venue=csTrlFozg_IJ.2020")</f>
        <v>https://scholar.google.com/citations?hl=pt-BR&amp;view_op=list_hcore&amp;venue=csTrlFozg_IJ.2020</v>
      </c>
    </row>
    <row r="9" spans="1:25" ht="25.5" customHeight="1">
      <c r="A9" s="67" t="str">
        <f ca="1">IFERROR(__xludf.DUMMYFUNCTION("""COMPUTED_VALUE"""),"Top 10")</f>
        <v>Top 10</v>
      </c>
      <c r="B9" s="60" t="str">
        <f ca="1">IFERROR(__xludf.DUMMYFUNCTION("""COMPUTED_VALUE"""),"ICMR")</f>
        <v>ICMR</v>
      </c>
      <c r="C9" s="60" t="str">
        <f ca="1">IFERROR(__xludf.DUMMYFUNCTION("""COMPUTED_VALUE"""),"ACM International Conference on Multimedia Retrieval")</f>
        <v>ACM International Conference on Multimedia Retrieval</v>
      </c>
      <c r="D9" s="60">
        <f ca="1">IFERROR(__xludf.DUMMYFUNCTION("""COMPUTED_VALUE"""),30)</f>
        <v>30</v>
      </c>
      <c r="E9" s="48" t="str">
        <f ca="1">IFERROR(__xludf.DUMMYFUNCTION("""COMPUTED_VALUE"""),"https://scholar.google.com/citations?hl=pt-BR&amp;view_op=list_hcore&amp;venue=_3Q9NfFmueMJ.2020")</f>
        <v>https://scholar.google.com/citations?hl=pt-BR&amp;view_op=list_hcore&amp;venue=_3Q9NfFmueMJ.2020</v>
      </c>
    </row>
    <row r="10" spans="1:25" ht="25.5" customHeight="1">
      <c r="A10" s="67" t="str">
        <f ca="1">IFERROR(__xludf.DUMMYFUNCTION("""COMPUTED_VALUE"""),"Top 10")</f>
        <v>Top 10</v>
      </c>
      <c r="B10" s="60" t="str">
        <f ca="1">IFERROR(__xludf.DUMMYFUNCTION("""COMPUTED_VALUE"""),"MMSys")</f>
        <v>MMSys</v>
      </c>
      <c r="C10" s="60" t="str">
        <f ca="1">IFERROR(__xludf.DUMMYFUNCTION("""COMPUTED_VALUE"""),"ACM Multimedia Systems Conference")</f>
        <v>ACM Multimedia Systems Conference</v>
      </c>
      <c r="D10" s="60">
        <f ca="1">IFERROR(__xludf.DUMMYFUNCTION("""COMPUTED_VALUE"""),31)</f>
        <v>31</v>
      </c>
      <c r="E10" s="48" t="str">
        <f ca="1">IFERROR(__xludf.DUMMYFUNCTION("""COMPUTED_VALUE"""),"https://scholar.google.com/citations?hl=pt-BR&amp;view_op=list_hcore&amp;venue=iRTf4ImdsEQJ.2020")</f>
        <v>https://scholar.google.com/citations?hl=pt-BR&amp;view_op=list_hcore&amp;venue=iRTf4ImdsEQJ.2020</v>
      </c>
    </row>
    <row r="11" spans="1:25" ht="25.5" customHeight="1">
      <c r="A11" s="67" t="str">
        <f ca="1">IFERROR(__xludf.DUMMYFUNCTION("""COMPUTED_VALUE"""),"Top 10")</f>
        <v>Top 10</v>
      </c>
      <c r="B11" s="60" t="str">
        <f ca="1">IFERROR(__xludf.DUMMYFUNCTION("""COMPUTED_VALUE"""),"QoMEX")</f>
        <v>QoMEX</v>
      </c>
      <c r="C11" s="60" t="str">
        <f ca="1">IFERROR(__xludf.DUMMYFUNCTION("""COMPUTED_VALUE"""),"International Workshop on Quality of Multimedia Experience")</f>
        <v>International Workshop on Quality of Multimedia Experience</v>
      </c>
      <c r="D11" s="60">
        <f ca="1">IFERROR(__xludf.DUMMYFUNCTION("""COMPUTED_VALUE"""),26)</f>
        <v>26</v>
      </c>
      <c r="E11" s="48" t="str">
        <f ca="1">IFERROR(__xludf.DUMMYFUNCTION("""COMPUTED_VALUE"""),"https://scholar.google.com.br/citations?hl=en&amp;view_op=list_hcore&amp;venue=bEDbANOodwgJ.2020")</f>
        <v>https://scholar.google.com.br/citations?hl=en&amp;view_op=list_hcore&amp;venue=bEDbANOodwgJ.2020</v>
      </c>
    </row>
    <row r="12" spans="1:25" ht="25.5" customHeight="1">
      <c r="A12" s="70" t="str">
        <f ca="1">IFERROR(__xludf.DUMMYFUNCTION("""COMPUTED_VALUE"""),"Top 20")</f>
        <v>Top 20</v>
      </c>
      <c r="B12" s="60" t="str">
        <f ca="1">IFERROR(__xludf.DUMMYFUNCTION("""COMPUTED_VALUE"""),"EC")</f>
        <v>EC</v>
      </c>
      <c r="C12" s="60" t="str">
        <f ca="1">IFERROR(__xludf.DUMMYFUNCTION("""COMPUTED_VALUE"""),"ACM conference on Economics and Computation")</f>
        <v>ACM conference on Economics and Computation</v>
      </c>
      <c r="D12" s="60">
        <f ca="1">IFERROR(__xludf.DUMMYFUNCTION("""COMPUTED_VALUE"""),40)</f>
        <v>40</v>
      </c>
      <c r="E12" s="48" t="str">
        <f ca="1">IFERROR(__xludf.DUMMYFUNCTION("""COMPUTED_VALUE"""),"https://scholar.google.com/citations?hl=pt-BR&amp;view_op=list_hcore&amp;venue=dpWPf1oNwIgJ.2020")</f>
        <v>https://scholar.google.com/citations?hl=pt-BR&amp;view_op=list_hcore&amp;venue=dpWPf1oNwIgJ.2020</v>
      </c>
    </row>
    <row r="13" spans="1:25" ht="25.5" customHeight="1">
      <c r="A13" s="70" t="str">
        <f ca="1">IFERROR(__xludf.DUMMYFUNCTION("""COMPUTED_VALUE"""),"Top 20")</f>
        <v>Top 20</v>
      </c>
      <c r="B13" s="60" t="str">
        <f ca="1">IFERROR(__xludf.DUMMYFUNCTION("""COMPUTED_VALUE"""),"Hypertext")</f>
        <v>Hypertext</v>
      </c>
      <c r="C13" s="60" t="str">
        <f ca="1">IFERROR(__xludf.DUMMYFUNCTION("""COMPUTED_VALUE"""),"ACM Conference on Hypertext and Hypermedia")</f>
        <v>ACM Conference on Hypertext and Hypermedia</v>
      </c>
      <c r="D13" s="60">
        <f ca="1">IFERROR(__xludf.DUMMYFUNCTION("""COMPUTED_VALUE"""),22)</f>
        <v>22</v>
      </c>
      <c r="E13" s="48" t="str">
        <f ca="1">IFERROR(__xludf.DUMMYFUNCTION("""COMPUTED_VALUE"""),"https://scholar.google.com/citations?hl=pt-BR&amp;view_op=list_hcore&amp;venue=U4LFuNlM8GMJ.2020")</f>
        <v>https://scholar.google.com/citations?hl=pt-BR&amp;view_op=list_hcore&amp;venue=U4LFuNlM8GMJ.2020</v>
      </c>
    </row>
    <row r="14" spans="1:25" ht="25.5" customHeight="1">
      <c r="A14" s="70" t="str">
        <f ca="1">IFERROR(__xludf.DUMMYFUNCTION("""COMPUTED_VALUE"""),"Top 20")</f>
        <v>Top 20</v>
      </c>
      <c r="B14" s="60" t="str">
        <f ca="1">IFERROR(__xludf.DUMMYFUNCTION("""COMPUTED_VALUE"""),"ICWS")</f>
        <v>ICWS</v>
      </c>
      <c r="C14" s="60" t="str">
        <f ca="1">IFERROR(__xludf.DUMMYFUNCTION("""COMPUTED_VALUE"""),"International Conference on Web Services")</f>
        <v>International Conference on Web Services</v>
      </c>
      <c r="D14" s="60">
        <f ca="1">IFERROR(__xludf.DUMMYFUNCTION("""COMPUTED_VALUE"""),21)</f>
        <v>21</v>
      </c>
      <c r="E14" s="48" t="str">
        <f ca="1">IFERROR(__xludf.DUMMYFUNCTION("""COMPUTED_VALUE"""),"https://scholar.google.com/citations?hl=pt-BR&amp;view_op=list_hcore&amp;venue=UYzshLpmx2EJ.2020")</f>
        <v>https://scholar.google.com/citations?hl=pt-BR&amp;view_op=list_hcore&amp;venue=UYzshLpmx2EJ.2020</v>
      </c>
    </row>
    <row r="15" spans="1:25" ht="25.5" customHeight="1">
      <c r="A15" s="70" t="str">
        <f ca="1">IFERROR(__xludf.DUMMYFUNCTION("""COMPUTED_VALUE"""),"Top 20")</f>
        <v>Top 20</v>
      </c>
      <c r="B15" s="60" t="str">
        <f ca="1">IFERROR(__xludf.DUMMYFUNCTION("""COMPUTED_VALUE"""),"MMM")</f>
        <v>MMM</v>
      </c>
      <c r="C15" s="60" t="str">
        <f ca="1">IFERROR(__xludf.DUMMYFUNCTION("""COMPUTED_VALUE"""),"MultiMedia Modeling Conference")</f>
        <v>MultiMedia Modeling Conference</v>
      </c>
      <c r="D15" s="60">
        <f ca="1">IFERROR(__xludf.DUMMYFUNCTION("""COMPUTED_VALUE"""),21)</f>
        <v>21</v>
      </c>
      <c r="E15" s="48" t="str">
        <f ca="1">IFERROR(__xludf.DUMMYFUNCTION("""COMPUTED_VALUE"""),"https://scholar.google.com/citations?hl=pt-BR&amp;view_op=list_hcore&amp;venue=Yk_rZmw8Ul4J.2020")</f>
        <v>https://scholar.google.com/citations?hl=pt-BR&amp;view_op=list_hcore&amp;venue=Yk_rZmw8Ul4J.2020</v>
      </c>
    </row>
    <row r="16" spans="1:25" ht="25.5" customHeight="1">
      <c r="A16" s="70" t="str">
        <f ca="1">IFERROR(__xludf.DUMMYFUNCTION("""COMPUTED_VALUE"""),"Top 20")</f>
        <v>Top 20</v>
      </c>
      <c r="B16" s="60" t="str">
        <f ca="1">IFERROR(__xludf.DUMMYFUNCTION("""COMPUTED_VALUE"""),"ACM IMX")</f>
        <v>ACM IMX</v>
      </c>
      <c r="C16" s="60" t="str">
        <f ca="1">IFERROR(__xludf.DUMMYFUNCTION("""COMPUTED_VALUE"""),"ACM International Conference on Interactive Media Experiences")</f>
        <v>ACM International Conference on Interactive Media Experiences</v>
      </c>
      <c r="D16" s="60">
        <f ca="1">IFERROR(__xludf.DUMMYFUNCTION("""COMPUTED_VALUE"""),16)</f>
        <v>16</v>
      </c>
      <c r="E16" s="48" t="str">
        <f ca="1">IFERROR(__xludf.DUMMYFUNCTION("""COMPUTED_VALUE"""),"https://scholar.google.com/citations?hl=pt-BR&amp;view_op=list_hcore&amp;venue=TXuTxsDBjjgJ.2020")</f>
        <v>https://scholar.google.com/citations?hl=pt-BR&amp;view_op=list_hcore&amp;venue=TXuTxsDBjjgJ.2020</v>
      </c>
    </row>
    <row r="17" spans="1:5" ht="25.5" customHeight="1">
      <c r="A17" s="70" t="str">
        <f ca="1">IFERROR(__xludf.DUMMYFUNCTION("""COMPUTED_VALUE"""),"Top 20")</f>
        <v>Top 20</v>
      </c>
      <c r="B17" s="60" t="str">
        <f ca="1">IFERROR(__xludf.DUMMYFUNCTION("""COMPUTED_VALUE"""),"ICWE")</f>
        <v>ICWE</v>
      </c>
      <c r="C17" s="60" t="str">
        <f ca="1">IFERROR(__xludf.DUMMYFUNCTION("""COMPUTED_VALUE"""),"International Conference on Web Engineering")</f>
        <v>International Conference on Web Engineering</v>
      </c>
      <c r="D17" s="60">
        <f ca="1">IFERROR(__xludf.DUMMYFUNCTION("""COMPUTED_VALUE"""),19)</f>
        <v>19</v>
      </c>
      <c r="E17" s="48" t="str">
        <f ca="1">IFERROR(__xludf.DUMMYFUNCTION("""COMPUTED_VALUE"""),"https://scholar.google.com/citations?hl=pt-BR&amp;view_op=list_hcore&amp;venue=I8L8xmsrq2EJ.2020")</f>
        <v>https://scholar.google.com/citations?hl=pt-BR&amp;view_op=list_hcore&amp;venue=I8L8xmsrq2EJ.2020</v>
      </c>
    </row>
    <row r="18" spans="1:5" ht="25.5" customHeight="1">
      <c r="A18" s="70" t="str">
        <f ca="1">IFERROR(__xludf.DUMMYFUNCTION("""COMPUTED_VALUE"""),"Top 20")</f>
        <v>Top 20</v>
      </c>
      <c r="B18" s="60" t="str">
        <f ca="1">IFERROR(__xludf.DUMMYFUNCTION("""COMPUTED_VALUE"""),"ISM")</f>
        <v>ISM</v>
      </c>
      <c r="C18" s="60" t="str">
        <f ca="1">IFERROR(__xludf.DUMMYFUNCTION("""COMPUTED_VALUE"""),"IEEE International Symposium on Multimedia")</f>
        <v>IEEE International Symposium on Multimedia</v>
      </c>
      <c r="D18" s="60">
        <f ca="1">IFERROR(__xludf.DUMMYFUNCTION("""COMPUTED_VALUE"""),17)</f>
        <v>17</v>
      </c>
      <c r="E18" s="48" t="str">
        <f ca="1">IFERROR(__xludf.DUMMYFUNCTION("""COMPUTED_VALUE"""),"https://scholar.google.com/citations?hl=pt-BR&amp;view_op=list_hcore&amp;venue=np9OvZCkWLIJ.2020")</f>
        <v>https://scholar.google.com/citations?hl=pt-BR&amp;view_op=list_hcore&amp;venue=np9OvZCkWLIJ.2020</v>
      </c>
    </row>
    <row r="19" spans="1:5" ht="25.5" customHeight="1">
      <c r="A19" s="70" t="str">
        <f ca="1">IFERROR(__xludf.DUMMYFUNCTION("""COMPUTED_VALUE"""),"Top 20")</f>
        <v>Top 20</v>
      </c>
      <c r="B19" s="60" t="str">
        <f ca="1">IFERROR(__xludf.DUMMYFUNCTION("""COMPUTED_VALUE"""),"Web4All")</f>
        <v>Web4All</v>
      </c>
      <c r="C19" s="60" t="str">
        <f ca="1">IFERROR(__xludf.DUMMYFUNCTION("""COMPUTED_VALUE"""),"International Web for All Conference")</f>
        <v>International Web for All Conference</v>
      </c>
      <c r="D19" s="60">
        <f ca="1">IFERROR(__xludf.DUMMYFUNCTION("""COMPUTED_VALUE"""),17)</f>
        <v>17</v>
      </c>
      <c r="E19" s="48" t="str">
        <f ca="1">IFERROR(__xludf.DUMMYFUNCTION("""COMPUTED_VALUE"""),"https://scholar.google.com/citations?hl=en&amp;view_op=list_hcore&amp;venue=TXeN4Nn46qQJ.2020")</f>
        <v>https://scholar.google.com/citations?hl=en&amp;view_op=list_hcore&amp;venue=TXeN4Nn46qQJ.2020</v>
      </c>
    </row>
    <row r="20" spans="1:5" ht="25.5" customHeight="1">
      <c r="A20" s="70" t="str">
        <f ca="1">IFERROR(__xludf.DUMMYFUNCTION("""COMPUTED_VALUE"""),"Top 20")</f>
        <v>Top 20</v>
      </c>
      <c r="B20" s="60" t="str">
        <f ca="1">IFERROR(__xludf.DUMMYFUNCTION("""COMPUTED_VALUE"""),"ACM DocEng")</f>
        <v>ACM DocEng</v>
      </c>
      <c r="C20" s="60" t="str">
        <f ca="1">IFERROR(__xludf.DUMMYFUNCTION("""COMPUTED_VALUE"""),"ACM Symposium on Document Engineering")</f>
        <v>ACM Symposium on Document Engineering</v>
      </c>
      <c r="D20" s="60">
        <f ca="1">IFERROR(__xludf.DUMMYFUNCTION("""COMPUTED_VALUE"""),12)</f>
        <v>12</v>
      </c>
      <c r="E20" s="48" t="str">
        <f ca="1">IFERROR(__xludf.DUMMYFUNCTION("""COMPUTED_VALUE"""),"https://scholar.google.com/citations?hl=pt-BR&amp;view_op=list_hcore&amp;venue=fBneWRb_-8wJ.2020")</f>
        <v>https://scholar.google.com/citations?hl=pt-BR&amp;view_op=list_hcore&amp;venue=fBneWRb_-8wJ.2020</v>
      </c>
    </row>
    <row r="21" spans="1:5" ht="25.5" customHeight="1">
      <c r="A21" s="70" t="str">
        <f ca="1">IFERROR(__xludf.DUMMYFUNCTION("""COMPUTED_VALUE"""),"Top 20")</f>
        <v>Top 20</v>
      </c>
      <c r="B21" s="60" t="str">
        <f ca="1">IFERROR(__xludf.DUMMYFUNCTION("""COMPUTED_VALUE"""),"ICMEW")</f>
        <v>ICMEW</v>
      </c>
      <c r="C21" s="60" t="str">
        <f ca="1">IFERROR(__xludf.DUMMYFUNCTION("""COMPUTED_VALUE"""),"IEEE International Conference on Multimedia and Expo Workshops")</f>
        <v>IEEE International Conference on Multimedia and Expo Workshops</v>
      </c>
      <c r="D21" s="60">
        <f ca="1">IFERROR(__xludf.DUMMYFUNCTION("""COMPUTED_VALUE"""),27)</f>
        <v>27</v>
      </c>
      <c r="E21" s="48" t="str">
        <f ca="1">IFERROR(__xludf.DUMMYFUNCTION("""COMPUTED_VALUE"""),"https://scholar.google.com/citations?hl=pt-BR&amp;view_op=list_hcore&amp;venue=Nb-CRah8-lcJ.2020")</f>
        <v>https://scholar.google.com/citations?hl=pt-BR&amp;view_op=list_hcore&amp;venue=Nb-CRah8-lcJ.2020</v>
      </c>
    </row>
    <row r="22" spans="1:5" ht="25.5" customHeight="1">
      <c r="A22" s="73" t="str">
        <f ca="1">IFERROR(__xludf.DUMMYFUNCTION("""COMPUTED_VALUE"""),"Eventos da Área")</f>
        <v>Eventos da Área</v>
      </c>
      <c r="B22" s="60" t="str">
        <f ca="1">IFERROR(__xludf.DUMMYFUNCTION("""COMPUTED_VALUE"""),"CSCW")</f>
        <v>CSCW</v>
      </c>
      <c r="C22" s="60" t="str">
        <f ca="1">IFERROR(__xludf.DUMMYFUNCTION("""COMPUTED_VALUE"""),"ACM Conference on Computer Supported Cooperative Work")</f>
        <v>ACM Conference on Computer Supported Cooperative Work</v>
      </c>
      <c r="D22" s="60">
        <f ca="1">IFERROR(__xludf.DUMMYFUNCTION("""COMPUTED_VALUE"""),61)</f>
        <v>61</v>
      </c>
      <c r="E22" s="48" t="str">
        <f ca="1">IFERROR(__xludf.DUMMYFUNCTION("""COMPUTED_VALUE"""),"https://scholar.google.com/citations?hl=pt-BR&amp;view_op=list_hcore&amp;venue=kXowlNFROIgJ.2020")</f>
        <v>https://scholar.google.com/citations?hl=pt-BR&amp;view_op=list_hcore&amp;venue=kXowlNFROIgJ.2020</v>
      </c>
    </row>
    <row r="23" spans="1:5" ht="25.5" customHeight="1">
      <c r="A23" s="73" t="str">
        <f ca="1">IFERROR(__xludf.DUMMYFUNCTION("""COMPUTED_VALUE"""),"Eventos da Área")</f>
        <v>Eventos da Área</v>
      </c>
      <c r="B23" s="60" t="str">
        <f ca="1">IFERROR(__xludf.DUMMYFUNCTION("""COMPUTED_VALUE"""),"ESWS")</f>
        <v>ESWS</v>
      </c>
      <c r="C23" s="60" t="str">
        <f ca="1">IFERROR(__xludf.DUMMYFUNCTION("""COMPUTED_VALUE"""),"European Semantic Web Conference")</f>
        <v>European Semantic Web Conference</v>
      </c>
      <c r="D23" s="60">
        <f ca="1">IFERROR(__xludf.DUMMYFUNCTION("""COMPUTED_VALUE"""),31)</f>
        <v>31</v>
      </c>
      <c r="E23" s="48" t="str">
        <f ca="1">IFERROR(__xludf.DUMMYFUNCTION("""COMPUTED_VALUE"""),"https://scholar.google.com/citations?hl=pt-BR&amp;view_op=list_hcore&amp;venue=mf0MeYwvqwoJ.2020")</f>
        <v>https://scholar.google.com/citations?hl=pt-BR&amp;view_op=list_hcore&amp;venue=mf0MeYwvqwoJ.2020</v>
      </c>
    </row>
    <row r="24" spans="1:5" ht="25.5" customHeight="1">
      <c r="A24" s="73" t="str">
        <f ca="1">IFERROR(__xludf.DUMMYFUNCTION("""COMPUTED_VALUE"""),"Eventos da Área")</f>
        <v>Eventos da Área</v>
      </c>
      <c r="B24" s="60" t="str">
        <f ca="1">IFERROR(__xludf.DUMMYFUNCTION("""COMPUTED_VALUE"""),"UMAP")</f>
        <v>UMAP</v>
      </c>
      <c r="C24" s="60" t="str">
        <f ca="1">IFERROR(__xludf.DUMMYFUNCTION("""COMPUTED_VALUE"""),"User Modeling, Adaptation, and Personalization")</f>
        <v>User Modeling, Adaptation, and Personalization</v>
      </c>
      <c r="D24" s="60">
        <f ca="1">IFERROR(__xludf.DUMMYFUNCTION("""COMPUTED_VALUE"""),26)</f>
        <v>26</v>
      </c>
      <c r="E24" s="48" t="str">
        <f ca="1">IFERROR(__xludf.DUMMYFUNCTION("""COMPUTED_VALUE"""),"https://scholar.google.com/citations?hl=pt-BR&amp;view_op=list_hcore&amp;venue=jtXTIwcBWV8J.2020")</f>
        <v>https://scholar.google.com/citations?hl=pt-BR&amp;view_op=list_hcore&amp;venue=jtXTIwcBWV8J.2020</v>
      </c>
    </row>
    <row r="25" spans="1:5" ht="25.5" customHeight="1">
      <c r="A25" s="73" t="str">
        <f ca="1">IFERROR(__xludf.DUMMYFUNCTION("""COMPUTED_VALUE"""),"Eventos da Área")</f>
        <v>Eventos da Área</v>
      </c>
      <c r="B25" s="60" t="str">
        <f ca="1">IFERROR(__xludf.DUMMYFUNCTION("""COMPUTED_VALUE"""),"EC")</f>
        <v>EC</v>
      </c>
      <c r="C25" s="60" t="str">
        <f ca="1">IFERROR(__xludf.DUMMYFUNCTION("""COMPUTED_VALUE"""),"ACM conference on Economics and Computation")</f>
        <v>ACM conference on Economics and Computation</v>
      </c>
      <c r="D25" s="60">
        <f ca="1">IFERROR(__xludf.DUMMYFUNCTION("""COMPUTED_VALUE"""),40)</f>
        <v>40</v>
      </c>
      <c r="E25" s="48" t="str">
        <f ca="1">IFERROR(__xludf.DUMMYFUNCTION("""COMPUTED_VALUE"""),"https://scholar.google.com/citations?hl=pt-BR&amp;view_op=list_hcore&amp;venue=dpWPf1oNwIgJ.2020")</f>
        <v>https://scholar.google.com/citations?hl=pt-BR&amp;view_op=list_hcore&amp;venue=dpWPf1oNwIgJ.2020</v>
      </c>
    </row>
    <row r="26" spans="1:5" ht="25.5" customHeight="1">
      <c r="A26" s="73" t="str">
        <f ca="1">IFERROR(__xludf.DUMMYFUNCTION("""COMPUTED_VALUE"""),"Eventos da Área")</f>
        <v>Eventos da Área</v>
      </c>
      <c r="B26" s="60" t="str">
        <f ca="1">IFERROR(__xludf.DUMMYFUNCTION("""COMPUTED_VALUE"""),"IMC")</f>
        <v>IMC</v>
      </c>
      <c r="C26" s="60" t="str">
        <f ca="1">IFERROR(__xludf.DUMMYFUNCTION("""COMPUTED_VALUE"""),"Internet Measurement Conference")</f>
        <v>Internet Measurement Conference</v>
      </c>
      <c r="D26" s="60">
        <f ca="1">IFERROR(__xludf.DUMMYFUNCTION("""COMPUTED_VALUE"""),37)</f>
        <v>37</v>
      </c>
      <c r="E26" s="48" t="str">
        <f ca="1">IFERROR(__xludf.DUMMYFUNCTION("""COMPUTED_VALUE"""),"https://scholar.google.com/citations?hl=pt-BR&amp;view_op=list_hcore&amp;venue=Yh-Vy_bHNYMJ.2020")</f>
        <v>https://scholar.google.com/citations?hl=pt-BR&amp;view_op=list_hcore&amp;venue=Yh-Vy_bHNYMJ.2020</v>
      </c>
    </row>
    <row r="27" spans="1:5" ht="25.5" customHeight="1">
      <c r="A27" s="73" t="str">
        <f ca="1">IFERROR(__xludf.DUMMYFUNCTION("""COMPUTED_VALUE"""),"Eventos da Área")</f>
        <v>Eventos da Área</v>
      </c>
      <c r="B27" s="60" t="str">
        <f ca="1">IFERROR(__xludf.DUMMYFUNCTION("""COMPUTED_VALUE"""),"WoWMoM")</f>
        <v>WoWMoM</v>
      </c>
      <c r="C27" s="60" t="str">
        <f ca="1">IFERROR(__xludf.DUMMYFUNCTION("""COMPUTED_VALUE"""),"IEEE International Symposium on a World of Wireless, Mobile and Multimedia Networks")</f>
        <v>IEEE International Symposium on a World of Wireless, Mobile and Multimedia Networks</v>
      </c>
      <c r="D27" s="60">
        <f ca="1">IFERROR(__xludf.DUMMYFUNCTION("""COMPUTED_VALUE"""),25)</f>
        <v>25</v>
      </c>
      <c r="E27" s="48" t="str">
        <f ca="1">IFERROR(__xludf.DUMMYFUNCTION("""COMPUTED_VALUE"""),"https://scholar.google.com/citations?hl=pt-BR&amp;view_op=list_hcore&amp;venue=N_9FWgf0qxMJ.2020")</f>
        <v>https://scholar.google.com/citations?hl=pt-BR&amp;view_op=list_hcore&amp;venue=N_9FWgf0qxMJ.2020</v>
      </c>
    </row>
    <row r="28" spans="1:5" ht="25.5" customHeight="1">
      <c r="A28" s="73" t="str">
        <f ca="1">IFERROR(__xludf.DUMMYFUNCTION("""COMPUTED_VALUE"""),"Eventos da Área")</f>
        <v>Eventos da Área</v>
      </c>
      <c r="B28" s="60" t="str">
        <f ca="1">IFERROR(__xludf.DUMMYFUNCTION("""COMPUTED_VALUE"""),"WISE")</f>
        <v>WISE</v>
      </c>
      <c r="C28" s="60" t="str">
        <f ca="1">IFERROR(__xludf.DUMMYFUNCTION("""COMPUTED_VALUE"""),"Web Information Systems Engineering")</f>
        <v>Web Information Systems Engineering</v>
      </c>
      <c r="D28" s="60">
        <f ca="1">IFERROR(__xludf.DUMMYFUNCTION("""COMPUTED_VALUE"""),13)</f>
        <v>13</v>
      </c>
      <c r="E28" s="48" t="str">
        <f ca="1">IFERROR(__xludf.DUMMYFUNCTION("""COMPUTED_VALUE"""),"https://scholar.google.com/citations?hl=pt-BR&amp;view_op=list_hcore&amp;venue=K9DmX5xQU-YJ.2020")</f>
        <v>https://scholar.google.com/citations?hl=pt-BR&amp;view_op=list_hcore&amp;venue=K9DmX5xQU-YJ.2020</v>
      </c>
    </row>
    <row r="29" spans="1:5" ht="25.5" customHeight="1">
      <c r="A29" s="73" t="str">
        <f ca="1">IFERROR(__xludf.DUMMYFUNCTION("""COMPUTED_VALUE"""),"Eventos da Área")</f>
        <v>Eventos da Área</v>
      </c>
      <c r="B29" s="60" t="str">
        <f ca="1">IFERROR(__xludf.DUMMYFUNCTION("""COMPUTED_VALUE"""),"BraSNAM")</f>
        <v>BraSNAM</v>
      </c>
      <c r="C29" s="60" t="str">
        <f ca="1">IFERROR(__xludf.DUMMYFUNCTION("""COMPUTED_VALUE"""),"Brazilian Workshop on Social Network Analysis and Mining")</f>
        <v>Brazilian Workshop on Social Network Analysis and Mining</v>
      </c>
      <c r="D29" s="60">
        <f ca="1">IFERROR(__xludf.DUMMYFUNCTION("""COMPUTED_VALUE"""),5)</f>
        <v>5</v>
      </c>
      <c r="E29" s="48" t="str">
        <f ca="1">IFERROR(__xludf.DUMMYFUNCTION("""COMPUTED_VALUE"""),"https://scholar.google.com.br/citations?hl=en&amp;view_op=list_hcore&amp;venue=uCHdYLLURp0J.2020")</f>
        <v>https://scholar.google.com.br/citations?hl=en&amp;view_op=list_hcore&amp;venue=uCHdYLLURp0J.2020</v>
      </c>
    </row>
    <row r="30" spans="1:5" ht="25.5" customHeight="1">
      <c r="A30" s="73" t="str">
        <f ca="1">IFERROR(__xludf.DUMMYFUNCTION("""COMPUTED_VALUE"""),"Eventos da Área")</f>
        <v>Eventos da Área</v>
      </c>
      <c r="B30" s="60" t="str">
        <f ca="1">IFERROR(__xludf.DUMMYFUNCTION("""COMPUTED_VALUE"""),"IH&amp;MMSec")</f>
        <v>IH&amp;MMSec</v>
      </c>
      <c r="C30" s="60" t="str">
        <f ca="1">IFERROR(__xludf.DUMMYFUNCTION("""COMPUTED_VALUE"""),"ACM Workshop on Information Hiding and Multimedia Security")</f>
        <v>ACM Workshop on Information Hiding and Multimedia Security</v>
      </c>
      <c r="D30" s="60">
        <f ca="1">IFERROR(__xludf.DUMMYFUNCTION("""COMPUTED_VALUE"""),18)</f>
        <v>18</v>
      </c>
      <c r="E30" s="48" t="str">
        <f ca="1">IFERROR(__xludf.DUMMYFUNCTION("""COMPUTED_VALUE"""),"https://scholar.google.com.br/citations?hl=en&amp;view_op=list_hcore&amp;venue=VXpZxWaAe0QJ.2020")</f>
        <v>https://scholar.google.com.br/citations?hl=en&amp;view_op=list_hcore&amp;venue=VXpZxWaAe0QJ.2020</v>
      </c>
    </row>
    <row r="31" spans="1:5" ht="25.5" customHeight="1">
      <c r="A31" s="73" t="str">
        <f ca="1">IFERROR(__xludf.DUMMYFUNCTION("""COMPUTED_VALUE"""),"Eventos da Área")</f>
        <v>Eventos da Área</v>
      </c>
      <c r="B31" s="60" t="str">
        <f ca="1">IFERROR(__xludf.DUMMYFUNCTION("""COMPUTED_VALUE"""),"MMSP")</f>
        <v>MMSP</v>
      </c>
      <c r="C31" s="60" t="str">
        <f ca="1">IFERROR(__xludf.DUMMYFUNCTION("""COMPUTED_VALUE"""),"IEEE Workshop on Multimedia Signal Processing")</f>
        <v>IEEE Workshop on Multimedia Signal Processing</v>
      </c>
      <c r="D31" s="60">
        <f ca="1">IFERROR(__xludf.DUMMYFUNCTION("""COMPUTED_VALUE"""),18)</f>
        <v>18</v>
      </c>
      <c r="E31" s="48" t="str">
        <f ca="1">IFERROR(__xludf.DUMMYFUNCTION("""COMPUTED_VALUE"""),"https://scholar.google.com.br/citations?hl=en&amp;view_op=list_hcore&amp;venue=_45azmq7lgwJ.2020")</f>
        <v>https://scholar.google.com.br/citations?hl=en&amp;view_op=list_hcore&amp;venue=_45azmq7lgwJ.2020</v>
      </c>
    </row>
    <row r="32" spans="1:5" ht="25.5" customHeight="1">
      <c r="A32" s="73" t="str">
        <f ca="1">IFERROR(__xludf.DUMMYFUNCTION("""COMPUTED_VALUE"""),"Eventos da Área")</f>
        <v>Eventos da Área</v>
      </c>
      <c r="B32" s="60" t="str">
        <f ca="1">IFERROR(__xludf.DUMMYFUNCTION("""COMPUTED_VALUE"""),"ASMS")</f>
        <v>ASMS</v>
      </c>
      <c r="C32" s="60" t="str">
        <f ca="1">IFERROR(__xludf.DUMMYFUNCTION("""COMPUTED_VALUE"""),"Advanced Satellite Multimedia Systems Conference")</f>
        <v>Advanced Satellite Multimedia Systems Conference</v>
      </c>
      <c r="D32" s="60">
        <f ca="1">IFERROR(__xludf.DUMMYFUNCTION("""COMPUTED_VALUE"""),14)</f>
        <v>14</v>
      </c>
      <c r="E32" s="48" t="str">
        <f ca="1">IFERROR(__xludf.DUMMYFUNCTION("""COMPUTED_VALUE"""),"https://scholar.google.com.br/citations?hl=en&amp;view_op=list_hcore&amp;venue=O90WS0zZyBYJ.2019")</f>
        <v>https://scholar.google.com.br/citations?hl=en&amp;view_op=list_hcore&amp;venue=O90WS0zZyBYJ.2019</v>
      </c>
    </row>
    <row r="33" spans="1:5" ht="25.5" customHeight="1">
      <c r="A33" s="73" t="str">
        <f ca="1">IFERROR(__xludf.DUMMYFUNCTION("""COMPUTED_VALUE"""),"Eventos da Área")</f>
        <v>Eventos da Área</v>
      </c>
      <c r="B33" s="60" t="str">
        <f ca="1">IFERROR(__xludf.DUMMYFUNCTION("""COMPUTED_VALUE"""),"CBMI")</f>
        <v>CBMI</v>
      </c>
      <c r="C33" s="60" t="str">
        <f ca="1">IFERROR(__xludf.DUMMYFUNCTION("""COMPUTED_VALUE"""),"International Workshop on Content-Based Multimedia Indexing")</f>
        <v>International Workshop on Content-Based Multimedia Indexing</v>
      </c>
      <c r="D33" s="60">
        <f ca="1">IFERROR(__xludf.DUMMYFUNCTION("""COMPUTED_VALUE"""),15)</f>
        <v>15</v>
      </c>
      <c r="E33" s="48" t="str">
        <f ca="1">IFERROR(__xludf.DUMMYFUNCTION("""COMPUTED_VALUE"""),"https://scholar.google.com.br/citations?hl=en&amp;view_op=list_hcore&amp;venue=nZ1bm2kqGmUJ.2020")</f>
        <v>https://scholar.google.com.br/citations?hl=en&amp;view_op=list_hcore&amp;venue=nZ1bm2kqGmUJ.2020</v>
      </c>
    </row>
    <row r="34" spans="1:5" ht="25.5" customHeight="1">
      <c r="A34" s="73" t="str">
        <f ca="1">IFERROR(__xludf.DUMMYFUNCTION("""COMPUTED_VALUE"""),"Eventos da Área")</f>
        <v>Eventos da Área</v>
      </c>
      <c r="B34" s="60" t="str">
        <f ca="1">IFERROR(__xludf.DUMMYFUNCTION("""COMPUTED_VALUE"""),"MUM")</f>
        <v>MUM</v>
      </c>
      <c r="C34" s="60" t="str">
        <f ca="1">IFERROR(__xludf.DUMMYFUNCTION("""COMPUTED_VALUE"""),"International Conference on Mobile and Ubiquitous Multimedia")</f>
        <v>International Conference on Mobile and Ubiquitous Multimedia</v>
      </c>
      <c r="D34" s="60">
        <f ca="1">IFERROR(__xludf.DUMMYFUNCTION("""COMPUTED_VALUE"""),16)</f>
        <v>16</v>
      </c>
      <c r="E34" s="48" t="str">
        <f ca="1">IFERROR(__xludf.DUMMYFUNCTION("""COMPUTED_VALUE"""),"https://scholar.google.com/citations?hl=pt-BR&amp;view_op=list_hcore&amp;venue=ZC8PGgykt-EJ.2020")</f>
        <v>https://scholar.google.com/citations?hl=pt-BR&amp;view_op=list_hcore&amp;venue=ZC8PGgykt-EJ.2020</v>
      </c>
    </row>
    <row r="35" spans="1:5" ht="25.5" customHeight="1">
      <c r="A35" s="73" t="str">
        <f ca="1">IFERROR(__xludf.DUMMYFUNCTION("""COMPUTED_VALUE"""),"Eventos da Área")</f>
        <v>Eventos da Área</v>
      </c>
      <c r="B35" s="60" t="str">
        <f ca="1">IFERROR(__xludf.DUMMYFUNCTION("""COMPUTED_VALUE"""),"MoMM")</f>
        <v>MoMM</v>
      </c>
      <c r="C35" s="60" t="str">
        <f ca="1">IFERROR(__xludf.DUMMYFUNCTION("""COMPUTED_VALUE"""),"International Conference on Advances in Mobile Computing &amp; Multimedia")</f>
        <v>International Conference on Advances in Mobile Computing &amp; Multimedia</v>
      </c>
      <c r="D35" s="60">
        <f ca="1">IFERROR(__xludf.DUMMYFUNCTION("""COMPUTED_VALUE"""),10)</f>
        <v>10</v>
      </c>
      <c r="E35" s="48" t="str">
        <f ca="1">IFERROR(__xludf.DUMMYFUNCTION("""COMPUTED_VALUE"""),"https://scholar.google.com/citations?hl=pt-BR&amp;view_op=list_hcore&amp;venue=PZoAL1XKdJoJ.2020")</f>
        <v>https://scholar.google.com/citations?hl=pt-BR&amp;view_op=list_hcore&amp;venue=PZoAL1XKdJoJ.2020</v>
      </c>
    </row>
    <row r="36" spans="1:5" ht="25.5" customHeight="1">
      <c r="A36" s="73" t="str">
        <f ca="1">IFERROR(__xludf.DUMMYFUNCTION("""COMPUTED_VALUE"""),"Eventos da Área")</f>
        <v>Eventos da Área</v>
      </c>
      <c r="B36" s="60" t="str">
        <f ca="1">IFERROR(__xludf.DUMMYFUNCTION("""COMPUTED_VALUE"""),"CRIWG")</f>
        <v>CRIWG</v>
      </c>
      <c r="C36" s="60" t="str">
        <f ca="1">IFERROR(__xludf.DUMMYFUNCTION("""COMPUTED_VALUE"""),"International Workshop on Groupware")</f>
        <v>International Workshop on Groupware</v>
      </c>
      <c r="D36" s="60">
        <f ca="1">IFERROR(__xludf.DUMMYFUNCTION("""COMPUTED_VALUE"""),8)</f>
        <v>8</v>
      </c>
      <c r="E36" s="48" t="str">
        <f ca="1">IFERROR(__xludf.DUMMYFUNCTION("""COMPUTED_VALUE"""),"https://scholar.google.com/citations?hl=pt-BR&amp;view_op=list_hcore&amp;venue=DOUIAOEhqWUJ.2020")</f>
        <v>https://scholar.google.com/citations?hl=pt-BR&amp;view_op=list_hcore&amp;venue=DOUIAOEhqWUJ.2020</v>
      </c>
    </row>
    <row r="37" spans="1:5" ht="25.5" customHeight="1">
      <c r="A37" s="73" t="str">
        <f ca="1">IFERROR(__xludf.DUMMYFUNCTION("""COMPUTED_VALUE"""),"Eventos da Área")</f>
        <v>Eventos da Área</v>
      </c>
      <c r="B37" s="60" t="str">
        <f ca="1">IFERROR(__xludf.DUMMYFUNCTION("""COMPUTED_VALUE"""),"SAC")</f>
        <v>SAC</v>
      </c>
      <c r="C37" s="60" t="str">
        <f ca="1">IFERROR(__xludf.DUMMYFUNCTION("""COMPUTED_VALUE"""),"ACM/SIGAPP Symposium On Applied Computing")</f>
        <v>ACM/SIGAPP Symposium On Applied Computing</v>
      </c>
      <c r="D37" s="60">
        <f ca="1">IFERROR(__xludf.DUMMYFUNCTION("""COMPUTED_VALUE"""),30)</f>
        <v>30</v>
      </c>
      <c r="E37" s="48" t="str">
        <f ca="1">IFERROR(__xludf.DUMMYFUNCTION("""COMPUTED_VALUE"""),"https://scholar.google.com/citations?hl=pt-BR&amp;view_op=list_hcore&amp;venue=eLhWa3qzEDsJ.2020")</f>
        <v>https://scholar.google.com/citations?hl=pt-BR&amp;view_op=list_hcore&amp;venue=eLhWa3qzEDsJ.2020</v>
      </c>
    </row>
    <row r="38" spans="1:5" ht="25.5" customHeight="1">
      <c r="A38" s="73" t="str">
        <f ca="1">IFERROR(__xludf.DUMMYFUNCTION("""COMPUTED_VALUE"""),"Eventos da Área")</f>
        <v>Eventos da Área</v>
      </c>
      <c r="B38" s="60" t="str">
        <f ca="1">IFERROR(__xludf.DUMMYFUNCTION("""COMPUTED_VALUE"""),"LAWEB")</f>
        <v>LAWEB</v>
      </c>
      <c r="C38" s="60" t="str">
        <f ca="1">IFERROR(__xludf.DUMMYFUNCTION("""COMPUTED_VALUE"""),"Latin American Web Congress")</f>
        <v>Latin American Web Congress</v>
      </c>
      <c r="D38" s="60"/>
      <c r="E38" s="48"/>
    </row>
    <row r="39" spans="1:5" ht="25.5" customHeight="1">
      <c r="A39" s="73" t="str">
        <f ca="1">IFERROR(__xludf.DUMMYFUNCTION("""COMPUTED_VALUE"""),"Eventos da Área")</f>
        <v>Eventos da Área</v>
      </c>
      <c r="B39" s="46" t="str">
        <f ca="1">IFERROR(__xludf.DUMMYFUNCTION("""COMPUTED_VALUE"""),"SBCUP")</f>
        <v>SBCUP</v>
      </c>
      <c r="C39" s="46" t="str">
        <f ca="1">IFERROR(__xludf.DUMMYFUNCTION("""COMPUTED_VALUE"""),"Simpósio Brasileiro de Computação Ubíqua e Pervasiva")</f>
        <v>Simpósio Brasileiro de Computação Ubíqua e Pervasiva</v>
      </c>
      <c r="D39" s="46"/>
      <c r="E39" s="74"/>
    </row>
    <row r="40" spans="1:5" ht="25.5" customHeight="1">
      <c r="A40" s="73" t="str">
        <f ca="1">IFERROR(__xludf.DUMMYFUNCTION("""COMPUTED_VALUE"""),"Eventos da Área")</f>
        <v>Eventos da Área</v>
      </c>
      <c r="B40" s="46" t="str">
        <f ca="1">IFERROR(__xludf.DUMMYFUNCTION("""COMPUTED_VALUE"""),"BMSB")</f>
        <v>BMSB</v>
      </c>
      <c r="C40" s="46" t="str">
        <f ca="1">IFERROR(__xludf.DUMMYFUNCTION("""COMPUTED_VALUE"""),"IEEE International Symposium on Broadband Multimedia Systems and Broadcasting")</f>
        <v>IEEE International Symposium on Broadband Multimedia Systems and Broadcasting</v>
      </c>
      <c r="D40" s="46">
        <f ca="1">IFERROR(__xludf.DUMMYFUNCTION("""COMPUTED_VALUE"""),17)</f>
        <v>17</v>
      </c>
      <c r="E40" s="74" t="str">
        <f ca="1">IFERROR(__xludf.DUMMYFUNCTION("""COMPUTED_VALUE"""),"https://scholar.google.com/citations?hl=pt-BR&amp;view_op=list_hcore&amp;venue=vaFgnAHDc38J.2021")</f>
        <v>https://scholar.google.com/citations?hl=pt-BR&amp;view_op=list_hcore&amp;venue=vaFgnAHDc38J.2021</v>
      </c>
    </row>
  </sheetData>
  <hyperlinks>
    <hyperlink ref="E2" r:id="rId1" display="https://scholar.google.com.br/citations?hl=en&amp;view_op=list_hcore&amp;venue=VtCeQ7ShDloJ.2020"/>
    <hyperlink ref="E3" r:id="rId2" display="https://scholar.google.com/citations?hl=pt-BR&amp;view_op=list_hcore&amp;venue=vKMrxyJUpv0J.2020"/>
    <hyperlink ref="E4" r:id="rId3" display="https://scholar.google.com/citations?hl=pt-BR&amp;view_op=list_hcore&amp;venue=K6EHRjh8bWIJ.2020"/>
    <hyperlink ref="E5" r:id="rId4" display="https://scholar.google.com/citations?hl=pt-BR&amp;view_op=list_hcore&amp;venue=6AbX1YWluE4J.2020"/>
    <hyperlink ref="E6" r:id="rId5" display="https://scholar.google.com/citations?hl=pt-BR&amp;view_op=list_hcore&amp;venue=4-w_STT7RmEJ.2020"/>
    <hyperlink ref="E7" r:id="rId6" display="https://scholar.google.com.br/citations?hl=en&amp;view_op=list_hcore&amp;venue=EL-07Zfxn_kJ.2020"/>
    <hyperlink ref="E8" r:id="rId7" display="https://scholar.google.com/citations?hl=pt-BR&amp;view_op=list_hcore&amp;venue=csTrlFozg_IJ.2020"/>
    <hyperlink ref="E9" r:id="rId8" display="https://scholar.google.com/citations?hl=pt-BR&amp;view_op=list_hcore&amp;venue=_3Q9NfFmueMJ.2020"/>
    <hyperlink ref="E10" r:id="rId9" display="https://scholar.google.com/citations?hl=pt-BR&amp;view_op=list_hcore&amp;venue=iRTf4ImdsEQJ.2020"/>
    <hyperlink ref="E11" r:id="rId10" display="https://scholar.google.com.br/citations?hl=en&amp;view_op=list_hcore&amp;venue=bEDbANOodwgJ.2020"/>
    <hyperlink ref="E12" r:id="rId11" display="https://scholar.google.com/citations?hl=pt-BR&amp;view_op=list_hcore&amp;venue=dpWPf1oNwIgJ.2020"/>
    <hyperlink ref="E13" r:id="rId12" display="https://scholar.google.com/citations?hl=pt-BR&amp;view_op=list_hcore&amp;venue=U4LFuNlM8GMJ.2019"/>
    <hyperlink ref="E14" r:id="rId13" display="https://scholar.google.com/citations?hl=pt-BR&amp;view_op=list_hcore&amp;venue=UYzshLpmx2EJ.2019"/>
    <hyperlink ref="E15" r:id="rId14" display="https://scholar.google.com/citations?hl=pt-BR&amp;view_op=list_hcore&amp;venue=Yk_rZmw8Ul4J.2019"/>
    <hyperlink ref="E16" r:id="rId15" display="https://scholar.google.com/citations?hl=pt-BR&amp;view_op=list_hcore&amp;venue=TXuTxsDBjjgJ.2019"/>
    <hyperlink ref="E17" r:id="rId16" display="https://scholar.google.com/citations?hl=pt-BR&amp;view_op=list_hcore&amp;venue=I8L8xmsrq2EJ.2019"/>
    <hyperlink ref="E18" r:id="rId17" display="https://scholar.google.com/citations?hl=pt-BR&amp;view_op=list_hcore&amp;venue=np9OvZCkWLIJ.2019"/>
    <hyperlink ref="E19" r:id="rId18" display="https://scholar.google.com/citations?hl=en&amp;view_op=list_hcore&amp;venue=TXeN4Nn46qQJ.2019"/>
    <hyperlink ref="E20" r:id="rId19" display="https://scholar.google.com/citations?hl=pt-BR&amp;view_op=list_hcore&amp;venue=fBneWRb_-8wJ.2020"/>
    <hyperlink ref="E21" r:id="rId20" display="https://scholar.google.com/citations?hl=pt-BR&amp;view_op=list_hcore&amp;venue=Nb-CRah8-lcJ.2019"/>
    <hyperlink ref="E22" r:id="rId21" display="https://scholar.google.com/citations?hl=pt-BR&amp;view_op=list_hcore&amp;venue=kXowlNFROIgJ.2019"/>
    <hyperlink ref="E23" r:id="rId22" display="https://scholar.google.com/citations?hl=pt-BR&amp;view_op=list_hcore&amp;venue=mf0MeYwvqwoJ.2019"/>
    <hyperlink ref="E24" r:id="rId23" display="https://scholar.google.com/citations?hl=pt-BR&amp;view_op=list_hcore&amp;venue=jtXTIwcBWV8J.2019"/>
    <hyperlink ref="E25" r:id="rId24" display="https://scholar.google.com/citations?hl=pt-BR&amp;view_op=list_hcore&amp;venue=dpWPf1oNwIgJ.2020"/>
    <hyperlink ref="E26" r:id="rId25" display="https://scholar.google.com/citations?hl=pt-BR&amp;view_op=list_hcore&amp;venue=Yh-Vy_bHNYMJ.2020"/>
    <hyperlink ref="E27" r:id="rId26" display="https://scholar.google.com/citations?hl=pt-BR&amp;view_op=list_hcore&amp;venue=N_9FWgf0qxMJ.2019"/>
    <hyperlink ref="E28" r:id="rId27" display="https://scholar.google.com/citations?hl=pt-BR&amp;view_op=list_hcore&amp;venue=K9DmX5xQU-YJ.2020"/>
    <hyperlink ref="E29" r:id="rId28" display="https://scholar.google.com.br/citations?hl=en&amp;view_op=list_hcore&amp;venue=uCHdYLLURp0J.2020"/>
    <hyperlink ref="E30" r:id="rId29" display="https://scholar.google.com.br/citations?hl=en&amp;view_op=list_hcore&amp;venue=VXpZxWaAe0QJ.2019"/>
    <hyperlink ref="E31" r:id="rId30" display="https://scholar.google.com.br/citations?hl=en&amp;view_op=list_hcore&amp;venue=_45azmq7lgwJ.2019"/>
    <hyperlink ref="E32" r:id="rId31" display="https://scholar.google.com.br/citations?hl=en&amp;view_op=list_hcore&amp;venue=O90WS0zZyBYJ.2019"/>
    <hyperlink ref="E33" r:id="rId32" display="https://scholar.google.com.br/citations?hl=en&amp;view_op=list_hcore&amp;venue=nZ1bm2kqGmUJ.2019"/>
    <hyperlink ref="E34" r:id="rId33" display="https://scholar.google.com/citations?hl=pt-BR&amp;view_op=list_hcore&amp;venue=ZC8PGgykt-EJ.2019"/>
    <hyperlink ref="E35" r:id="rId34" display="https://scholar.google.com/citations?hl=pt-BR&amp;view_op=list_hcore&amp;venue=PZoAL1XKdJoJ.2019"/>
    <hyperlink ref="E36" r:id="rId35" display="https://scholar.google.com/citations?hl=pt-BR&amp;view_op=list_hcore&amp;venue=DOUIAOEhqWUJ.2019"/>
    <hyperlink ref="E37" r:id="rId36" display="https://scholar.google.com/citations?hl=pt-BR&amp;view_op=list_hcore&amp;venue=eLhWa3qzEDsJ.2020"/>
    <hyperlink ref="E40" r:id="rId37" display="https://scholar.google.com/citations?hl=pt-BR&amp;view_op=list_hcore&amp;venue=vaFgnAHDc38J.2021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20"/>
  <sheetViews>
    <sheetView showGridLines="0" zoomScaleNormal="100" workbookViewId="0">
      <selection activeCell="C34" sqref="C34"/>
    </sheetView>
  </sheetViews>
  <sheetFormatPr defaultColWidth="12.5703125" defaultRowHeight="15.75" customHeight="1"/>
  <cols>
    <col min="1" max="1" width="17" customWidth="1"/>
    <col min="2" max="2" width="13.42578125" style="76" bestFit="1" customWidth="1"/>
    <col min="3" max="3" width="103.7109375" style="76" customWidth="1"/>
    <col min="4" max="4" width="5.5703125" style="76" customWidth="1"/>
    <col min="5" max="5" width="144.85546875" style="78" customWidth="1"/>
  </cols>
  <sheetData>
    <row r="1" spans="1:16" ht="25.5" customHeight="1">
      <c r="A1" s="71" t="s">
        <v>2359</v>
      </c>
      <c r="B1" s="71" t="s">
        <v>0</v>
      </c>
      <c r="C1" s="71" t="s">
        <v>2360</v>
      </c>
      <c r="D1" s="71" t="s">
        <v>2361</v>
      </c>
      <c r="E1" s="71" t="s">
        <v>2362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5.5" customHeight="1">
      <c r="A2" s="67" t="s">
        <v>2363</v>
      </c>
      <c r="B2" s="82" t="s">
        <v>1008</v>
      </c>
      <c r="C2" s="82" t="s">
        <v>1009</v>
      </c>
      <c r="D2" s="82">
        <v>19</v>
      </c>
      <c r="E2" s="83" t="s">
        <v>3061</v>
      </c>
    </row>
    <row r="3" spans="1:16" ht="25.5" customHeight="1">
      <c r="A3" s="67" t="s">
        <v>2363</v>
      </c>
      <c r="B3" s="82" t="s">
        <v>366</v>
      </c>
      <c r="C3" s="82" t="s">
        <v>367</v>
      </c>
      <c r="D3" s="82">
        <v>23</v>
      </c>
      <c r="E3" s="83" t="s">
        <v>3062</v>
      </c>
    </row>
    <row r="4" spans="1:16" ht="25.5" customHeight="1">
      <c r="A4" s="67" t="s">
        <v>2363</v>
      </c>
      <c r="B4" s="82" t="s">
        <v>488</v>
      </c>
      <c r="C4" s="82" t="s">
        <v>489</v>
      </c>
      <c r="D4" s="82">
        <v>19</v>
      </c>
      <c r="E4" s="83" t="s">
        <v>3063</v>
      </c>
    </row>
    <row r="5" spans="1:16" ht="25.5" customHeight="1">
      <c r="A5" s="67" t="s">
        <v>2363</v>
      </c>
      <c r="B5" s="82" t="s">
        <v>1413</v>
      </c>
      <c r="C5" s="82" t="s">
        <v>3064</v>
      </c>
      <c r="D5" s="82">
        <v>16</v>
      </c>
      <c r="E5" s="83" t="s">
        <v>3065</v>
      </c>
    </row>
    <row r="6" spans="1:16" ht="25.5" customHeight="1">
      <c r="A6" s="67" t="s">
        <v>2363</v>
      </c>
      <c r="B6" s="82" t="s">
        <v>1010</v>
      </c>
      <c r="C6" s="82" t="s">
        <v>3066</v>
      </c>
      <c r="D6" s="83">
        <v>9</v>
      </c>
      <c r="E6" s="83" t="s">
        <v>3067</v>
      </c>
    </row>
    <row r="7" spans="1:16" ht="25.5" customHeight="1">
      <c r="A7" s="67" t="s">
        <v>2363</v>
      </c>
      <c r="B7" s="82" t="s">
        <v>1391</v>
      </c>
      <c r="C7" s="84" t="s">
        <v>1392</v>
      </c>
      <c r="D7" s="82">
        <v>9</v>
      </c>
      <c r="E7" s="83" t="s">
        <v>3068</v>
      </c>
    </row>
    <row r="8" spans="1:16" ht="25.5" customHeight="1">
      <c r="A8" s="67" t="s">
        <v>2363</v>
      </c>
      <c r="B8" s="82" t="s">
        <v>3069</v>
      </c>
      <c r="C8" s="82" t="s">
        <v>3070</v>
      </c>
      <c r="D8" s="82">
        <v>14</v>
      </c>
      <c r="E8" s="83" t="s">
        <v>3071</v>
      </c>
    </row>
    <row r="9" spans="1:16" ht="25.5" customHeight="1">
      <c r="A9" s="67" t="s">
        <v>2363</v>
      </c>
      <c r="B9" s="82" t="s">
        <v>38</v>
      </c>
      <c r="C9" s="82" t="s">
        <v>39</v>
      </c>
      <c r="D9" s="82">
        <v>188</v>
      </c>
      <c r="E9" s="83" t="s">
        <v>3072</v>
      </c>
    </row>
    <row r="10" spans="1:16" ht="25.5" customHeight="1">
      <c r="A10" s="67" t="s">
        <v>2363</v>
      </c>
      <c r="B10" s="82" t="s">
        <v>28</v>
      </c>
      <c r="C10" s="82" t="s">
        <v>29</v>
      </c>
      <c r="D10" s="82">
        <v>86</v>
      </c>
      <c r="E10" s="83" t="s">
        <v>3073</v>
      </c>
    </row>
    <row r="11" spans="1:16" ht="25.5" customHeight="1">
      <c r="A11" s="67" t="s">
        <v>2363</v>
      </c>
      <c r="B11" s="82" t="s">
        <v>208</v>
      </c>
      <c r="C11" s="82" t="s">
        <v>3074</v>
      </c>
      <c r="D11" s="82">
        <v>45</v>
      </c>
      <c r="E11" s="83" t="s">
        <v>3075</v>
      </c>
    </row>
    <row r="12" spans="1:16" ht="25.5" customHeight="1">
      <c r="A12" s="70" t="s">
        <v>2383</v>
      </c>
      <c r="B12" s="82" t="s">
        <v>2559</v>
      </c>
      <c r="C12" s="82" t="s">
        <v>2560</v>
      </c>
      <c r="D12" s="82">
        <v>124</v>
      </c>
      <c r="E12" s="83" t="s">
        <v>3076</v>
      </c>
    </row>
    <row r="13" spans="1:16" ht="25.5" customHeight="1">
      <c r="A13" s="70" t="s">
        <v>2383</v>
      </c>
      <c r="B13" s="82" t="s">
        <v>84</v>
      </c>
      <c r="C13" s="82" t="s">
        <v>3077</v>
      </c>
      <c r="D13" s="82">
        <v>79</v>
      </c>
      <c r="E13" s="83" t="s">
        <v>3078</v>
      </c>
    </row>
    <row r="14" spans="1:16" ht="25.5" customHeight="1">
      <c r="A14" s="70" t="s">
        <v>2383</v>
      </c>
      <c r="B14" s="82" t="s">
        <v>112</v>
      </c>
      <c r="C14" s="82" t="s">
        <v>113</v>
      </c>
      <c r="D14" s="82">
        <v>75</v>
      </c>
      <c r="E14" s="83" t="s">
        <v>3079</v>
      </c>
    </row>
    <row r="15" spans="1:16" ht="25.5" customHeight="1">
      <c r="A15" s="70" t="s">
        <v>2383</v>
      </c>
      <c r="B15" s="82" t="s">
        <v>206</v>
      </c>
      <c r="C15" s="82" t="s">
        <v>3080</v>
      </c>
      <c r="D15" s="82">
        <v>52</v>
      </c>
      <c r="E15" s="83" t="s">
        <v>3081</v>
      </c>
    </row>
    <row r="16" spans="1:16" ht="25.5" customHeight="1">
      <c r="A16" s="70" t="s">
        <v>2383</v>
      </c>
      <c r="B16" s="82" t="s">
        <v>3082</v>
      </c>
      <c r="C16" s="82" t="s">
        <v>2645</v>
      </c>
      <c r="D16" s="82">
        <v>49</v>
      </c>
      <c r="E16" s="83" t="s">
        <v>3083</v>
      </c>
    </row>
    <row r="17" spans="1:5" ht="25.5" customHeight="1">
      <c r="A17" s="70" t="s">
        <v>2383</v>
      </c>
      <c r="B17" s="82" t="s">
        <v>3084</v>
      </c>
      <c r="C17" s="82" t="s">
        <v>3085</v>
      </c>
      <c r="D17" s="82">
        <v>16</v>
      </c>
      <c r="E17" s="83" t="s">
        <v>3086</v>
      </c>
    </row>
    <row r="18" spans="1:5" ht="25.5" customHeight="1">
      <c r="A18" s="70" t="s">
        <v>2383</v>
      </c>
      <c r="B18" s="82" t="s">
        <v>156</v>
      </c>
      <c r="C18" s="82" t="s">
        <v>157</v>
      </c>
      <c r="D18" s="82">
        <v>41</v>
      </c>
      <c r="E18" s="83" t="s">
        <v>3087</v>
      </c>
    </row>
    <row r="19" spans="1:5" ht="25.5" customHeight="1">
      <c r="A19" s="70" t="s">
        <v>2383</v>
      </c>
      <c r="B19" s="82" t="s">
        <v>46</v>
      </c>
      <c r="C19" s="82" t="s">
        <v>47</v>
      </c>
      <c r="D19" s="82">
        <v>104</v>
      </c>
      <c r="E19" s="83" t="s">
        <v>3088</v>
      </c>
    </row>
    <row r="20" spans="1:5" ht="25.5" customHeight="1">
      <c r="A20" s="70" t="s">
        <v>2383</v>
      </c>
      <c r="B20" s="82" t="s">
        <v>136</v>
      </c>
      <c r="C20" s="82" t="s">
        <v>3089</v>
      </c>
      <c r="D20" s="82">
        <v>54</v>
      </c>
      <c r="E20" s="83" t="s">
        <v>3090</v>
      </c>
    </row>
    <row r="21" spans="1:5" ht="25.5" customHeight="1">
      <c r="A21" s="70" t="s">
        <v>2383</v>
      </c>
      <c r="B21" s="82" t="s">
        <v>3091</v>
      </c>
      <c r="C21" s="82" t="s">
        <v>1025</v>
      </c>
      <c r="D21" s="82">
        <v>14</v>
      </c>
      <c r="E21" s="83" t="s">
        <v>3092</v>
      </c>
    </row>
    <row r="22" spans="1:5" ht="25.5" customHeight="1">
      <c r="A22" s="73" t="s">
        <v>2406</v>
      </c>
      <c r="B22" s="82" t="s">
        <v>36</v>
      </c>
      <c r="C22" s="82" t="s">
        <v>3093</v>
      </c>
      <c r="D22" s="82">
        <v>56</v>
      </c>
      <c r="E22" s="83" t="s">
        <v>3094</v>
      </c>
    </row>
    <row r="23" spans="1:5" ht="25.5" customHeight="1">
      <c r="A23" s="73" t="s">
        <v>2406</v>
      </c>
      <c r="B23" s="82" t="s">
        <v>2857</v>
      </c>
      <c r="C23" s="82" t="s">
        <v>2858</v>
      </c>
      <c r="D23" s="82">
        <v>49</v>
      </c>
      <c r="E23" s="83" t="s">
        <v>3095</v>
      </c>
    </row>
    <row r="24" spans="1:5" ht="25.5" customHeight="1">
      <c r="A24" s="73" t="s">
        <v>2406</v>
      </c>
      <c r="B24" s="82" t="s">
        <v>1747</v>
      </c>
      <c r="C24" s="82" t="s">
        <v>1748</v>
      </c>
      <c r="D24" s="82">
        <v>47</v>
      </c>
      <c r="E24" s="83" t="s">
        <v>3096</v>
      </c>
    </row>
    <row r="25" spans="1:5" ht="25.5" customHeight="1">
      <c r="A25" s="73" t="s">
        <v>2406</v>
      </c>
      <c r="B25" s="82" t="s">
        <v>18</v>
      </c>
      <c r="C25" s="82" t="s">
        <v>19</v>
      </c>
      <c r="D25" s="82">
        <v>42</v>
      </c>
      <c r="E25" s="83" t="s">
        <v>3097</v>
      </c>
    </row>
    <row r="26" spans="1:5" ht="25.5" customHeight="1">
      <c r="A26" s="73" t="s">
        <v>2406</v>
      </c>
      <c r="B26" s="82" t="s">
        <v>100</v>
      </c>
      <c r="C26" s="82" t="s">
        <v>101</v>
      </c>
      <c r="D26" s="82">
        <v>41</v>
      </c>
      <c r="E26" s="83" t="s">
        <v>3098</v>
      </c>
    </row>
    <row r="27" spans="1:5" ht="25.5" customHeight="1">
      <c r="A27" s="73" t="s">
        <v>2406</v>
      </c>
      <c r="B27" s="82" t="s">
        <v>210</v>
      </c>
      <c r="C27" s="82" t="s">
        <v>2585</v>
      </c>
      <c r="D27" s="82">
        <v>38</v>
      </c>
      <c r="E27" s="83" t="s">
        <v>3099</v>
      </c>
    </row>
    <row r="28" spans="1:5" ht="25.5" customHeight="1">
      <c r="A28" s="73" t="s">
        <v>2406</v>
      </c>
      <c r="B28" s="82" t="s">
        <v>1153</v>
      </c>
      <c r="C28" s="82" t="s">
        <v>63</v>
      </c>
      <c r="D28" s="82">
        <v>36</v>
      </c>
      <c r="E28" s="83" t="s">
        <v>3100</v>
      </c>
    </row>
    <row r="29" spans="1:5" ht="25.5" customHeight="1">
      <c r="A29" s="73" t="s">
        <v>2406</v>
      </c>
      <c r="B29" s="82" t="s">
        <v>2860</v>
      </c>
      <c r="C29" s="82" t="s">
        <v>2861</v>
      </c>
      <c r="D29" s="82">
        <v>35</v>
      </c>
      <c r="E29" s="83" t="s">
        <v>3101</v>
      </c>
    </row>
    <row r="30" spans="1:5" ht="25.5" customHeight="1">
      <c r="A30" s="73" t="s">
        <v>2406</v>
      </c>
      <c r="B30" s="82" t="s">
        <v>106</v>
      </c>
      <c r="C30" s="82" t="s">
        <v>107</v>
      </c>
      <c r="D30" s="82">
        <v>32</v>
      </c>
      <c r="E30" s="83" t="s">
        <v>3102</v>
      </c>
    </row>
    <row r="31" spans="1:5" ht="25.5" customHeight="1">
      <c r="A31" s="73" t="s">
        <v>2406</v>
      </c>
      <c r="B31" s="82" t="s">
        <v>192</v>
      </c>
      <c r="C31" s="82" t="s">
        <v>193</v>
      </c>
      <c r="D31" s="82">
        <v>32</v>
      </c>
      <c r="E31" s="83" t="s">
        <v>3103</v>
      </c>
    </row>
    <row r="32" spans="1:5" ht="25.5" customHeight="1">
      <c r="A32" s="73" t="s">
        <v>2406</v>
      </c>
      <c r="B32" s="82" t="s">
        <v>2590</v>
      </c>
      <c r="C32" s="82" t="s">
        <v>2591</v>
      </c>
      <c r="D32" s="82">
        <v>30</v>
      </c>
      <c r="E32" s="83" t="s">
        <v>3104</v>
      </c>
    </row>
    <row r="33" spans="1:5" ht="25.5" customHeight="1">
      <c r="A33" s="73" t="s">
        <v>2406</v>
      </c>
      <c r="B33" s="82" t="s">
        <v>3105</v>
      </c>
      <c r="C33" s="82" t="s">
        <v>3106</v>
      </c>
      <c r="D33" s="82">
        <v>30</v>
      </c>
      <c r="E33" s="83" t="s">
        <v>3107</v>
      </c>
    </row>
    <row r="34" spans="1:5" ht="25.5" customHeight="1">
      <c r="A34" s="73" t="s">
        <v>2406</v>
      </c>
      <c r="B34" s="82" t="s">
        <v>182</v>
      </c>
      <c r="C34" s="82" t="s">
        <v>183</v>
      </c>
      <c r="D34" s="82">
        <v>30</v>
      </c>
      <c r="E34" s="83" t="s">
        <v>3108</v>
      </c>
    </row>
    <row r="35" spans="1:5" ht="25.5" customHeight="1">
      <c r="A35" s="73" t="s">
        <v>2406</v>
      </c>
      <c r="B35" s="82" t="s">
        <v>1509</v>
      </c>
      <c r="C35" s="82" t="s">
        <v>1510</v>
      </c>
      <c r="D35" s="82">
        <v>29</v>
      </c>
      <c r="E35" s="83" t="s">
        <v>3109</v>
      </c>
    </row>
    <row r="36" spans="1:5" ht="25.5" customHeight="1">
      <c r="A36" s="73" t="s">
        <v>2406</v>
      </c>
      <c r="B36" s="82" t="s">
        <v>342</v>
      </c>
      <c r="C36" s="82" t="s">
        <v>343</v>
      </c>
      <c r="D36" s="82">
        <v>28</v>
      </c>
      <c r="E36" s="83" t="s">
        <v>3110</v>
      </c>
    </row>
    <row r="37" spans="1:5" ht="25.5" customHeight="1">
      <c r="A37" s="73" t="s">
        <v>2406</v>
      </c>
      <c r="B37" s="82" t="s">
        <v>376</v>
      </c>
      <c r="C37" s="82" t="s">
        <v>377</v>
      </c>
      <c r="D37" s="82">
        <v>27</v>
      </c>
      <c r="E37" s="83" t="s">
        <v>3111</v>
      </c>
    </row>
    <row r="38" spans="1:5" ht="25.5" customHeight="1">
      <c r="A38" s="73" t="s">
        <v>2406</v>
      </c>
      <c r="B38" s="82" t="s">
        <v>3112</v>
      </c>
      <c r="C38" s="82" t="s">
        <v>391</v>
      </c>
      <c r="D38" s="82">
        <v>27</v>
      </c>
      <c r="E38" s="83" t="s">
        <v>3113</v>
      </c>
    </row>
    <row r="39" spans="1:5" ht="25.5" customHeight="1">
      <c r="A39" s="73" t="s">
        <v>2406</v>
      </c>
      <c r="B39" s="82" t="s">
        <v>3114</v>
      </c>
      <c r="C39" s="82" t="s">
        <v>3115</v>
      </c>
      <c r="D39" s="82">
        <v>26</v>
      </c>
      <c r="E39" s="83" t="s">
        <v>3116</v>
      </c>
    </row>
    <row r="40" spans="1:5" ht="25.5" customHeight="1">
      <c r="A40" s="73" t="s">
        <v>2406</v>
      </c>
      <c r="B40" s="82" t="s">
        <v>334</v>
      </c>
      <c r="C40" s="82" t="s">
        <v>335</v>
      </c>
      <c r="D40" s="82">
        <v>26</v>
      </c>
      <c r="E40" s="83" t="s">
        <v>3117</v>
      </c>
    </row>
    <row r="41" spans="1:5" ht="25.5" customHeight="1">
      <c r="A41" s="73" t="s">
        <v>2406</v>
      </c>
      <c r="B41" s="82" t="s">
        <v>442</v>
      </c>
      <c r="C41" s="82" t="s">
        <v>443</v>
      </c>
      <c r="D41" s="82">
        <v>26</v>
      </c>
      <c r="E41" s="83" t="s">
        <v>3118</v>
      </c>
    </row>
    <row r="42" spans="1:5" ht="25.5" customHeight="1">
      <c r="A42" s="73" t="s">
        <v>2406</v>
      </c>
      <c r="B42" s="82" t="s">
        <v>2599</v>
      </c>
      <c r="C42" s="82" t="s">
        <v>2600</v>
      </c>
      <c r="D42" s="82">
        <v>25</v>
      </c>
      <c r="E42" s="83" t="s">
        <v>3119</v>
      </c>
    </row>
    <row r="43" spans="1:5" ht="25.5" customHeight="1">
      <c r="A43" s="73" t="s">
        <v>2406</v>
      </c>
      <c r="B43" s="82" t="s">
        <v>3120</v>
      </c>
      <c r="C43" s="82" t="s">
        <v>3121</v>
      </c>
      <c r="D43" s="82">
        <v>25</v>
      </c>
      <c r="E43" s="83" t="s">
        <v>3122</v>
      </c>
    </row>
    <row r="44" spans="1:5" ht="25.5" customHeight="1">
      <c r="A44" s="73" t="s">
        <v>2406</v>
      </c>
      <c r="B44" s="82" t="s">
        <v>1223</v>
      </c>
      <c r="C44" s="82" t="s">
        <v>3123</v>
      </c>
      <c r="D44" s="82">
        <v>25</v>
      </c>
      <c r="E44" s="83" t="s">
        <v>3124</v>
      </c>
    </row>
    <row r="45" spans="1:5" ht="25.5" customHeight="1">
      <c r="A45" s="73" t="s">
        <v>2406</v>
      </c>
      <c r="B45" s="82" t="s">
        <v>3125</v>
      </c>
      <c r="C45" s="82" t="s">
        <v>3126</v>
      </c>
      <c r="D45" s="82">
        <v>25</v>
      </c>
      <c r="E45" s="83" t="s">
        <v>3127</v>
      </c>
    </row>
    <row r="46" spans="1:5" ht="25.5" customHeight="1">
      <c r="A46" s="73" t="s">
        <v>2406</v>
      </c>
      <c r="B46" s="82" t="s">
        <v>2604</v>
      </c>
      <c r="C46" s="82" t="s">
        <v>3128</v>
      </c>
      <c r="D46" s="82">
        <v>24</v>
      </c>
      <c r="E46" s="83" t="s">
        <v>2606</v>
      </c>
    </row>
    <row r="47" spans="1:5" ht="25.5" customHeight="1">
      <c r="A47" s="73" t="s">
        <v>2406</v>
      </c>
      <c r="B47" s="82" t="s">
        <v>2594</v>
      </c>
      <c r="C47" s="82" t="s">
        <v>3129</v>
      </c>
      <c r="D47" s="82">
        <v>23</v>
      </c>
      <c r="E47" s="83" t="s">
        <v>3130</v>
      </c>
    </row>
    <row r="48" spans="1:5" ht="25.5" customHeight="1">
      <c r="A48" s="73" t="s">
        <v>2406</v>
      </c>
      <c r="B48" s="82" t="s">
        <v>438</v>
      </c>
      <c r="C48" s="82" t="s">
        <v>3131</v>
      </c>
      <c r="D48" s="82">
        <v>23</v>
      </c>
      <c r="E48" s="83" t="s">
        <v>3132</v>
      </c>
    </row>
    <row r="49" spans="1:5" ht="25.5" customHeight="1">
      <c r="A49" s="73" t="s">
        <v>2406</v>
      </c>
      <c r="B49" s="82" t="s">
        <v>3133</v>
      </c>
      <c r="C49" s="82" t="s">
        <v>3134</v>
      </c>
      <c r="D49" s="82">
        <v>23</v>
      </c>
      <c r="E49" s="83" t="s">
        <v>3135</v>
      </c>
    </row>
    <row r="50" spans="1:5" ht="25.5" customHeight="1">
      <c r="A50" s="73" t="s">
        <v>2406</v>
      </c>
      <c r="B50" s="82" t="s">
        <v>450</v>
      </c>
      <c r="C50" s="82" t="s">
        <v>3136</v>
      </c>
      <c r="D50" s="82">
        <v>22</v>
      </c>
      <c r="E50" s="83" t="s">
        <v>3137</v>
      </c>
    </row>
    <row r="51" spans="1:5" ht="25.5" customHeight="1">
      <c r="A51" s="73" t="s">
        <v>2406</v>
      </c>
      <c r="B51" s="82" t="s">
        <v>3138</v>
      </c>
      <c r="C51" s="82" t="s">
        <v>3139</v>
      </c>
      <c r="D51" s="82">
        <v>22</v>
      </c>
      <c r="E51" s="83" t="s">
        <v>3140</v>
      </c>
    </row>
    <row r="52" spans="1:5" ht="25.5" customHeight="1">
      <c r="A52" s="73" t="s">
        <v>2406</v>
      </c>
      <c r="B52" s="82" t="s">
        <v>3141</v>
      </c>
      <c r="C52" s="82" t="s">
        <v>3142</v>
      </c>
      <c r="D52" s="82">
        <v>21</v>
      </c>
      <c r="E52" s="83" t="s">
        <v>3143</v>
      </c>
    </row>
    <row r="53" spans="1:5" ht="25.5" customHeight="1">
      <c r="A53" s="73" t="s">
        <v>2406</v>
      </c>
      <c r="B53" s="82" t="s">
        <v>360</v>
      </c>
      <c r="C53" s="82" t="s">
        <v>3144</v>
      </c>
      <c r="D53" s="82">
        <v>21</v>
      </c>
      <c r="E53" s="83" t="s">
        <v>3145</v>
      </c>
    </row>
    <row r="54" spans="1:5" ht="25.5" customHeight="1">
      <c r="A54" s="73" t="s">
        <v>2406</v>
      </c>
      <c r="B54" s="82" t="s">
        <v>408</v>
      </c>
      <c r="C54" s="82" t="s">
        <v>409</v>
      </c>
      <c r="D54" s="82">
        <v>21</v>
      </c>
      <c r="E54" s="83" t="s">
        <v>3146</v>
      </c>
    </row>
    <row r="55" spans="1:5" ht="25.5" customHeight="1">
      <c r="A55" s="73" t="s">
        <v>2406</v>
      </c>
      <c r="B55" s="82" t="s">
        <v>998</v>
      </c>
      <c r="C55" s="82" t="s">
        <v>999</v>
      </c>
      <c r="D55" s="82">
        <v>21</v>
      </c>
      <c r="E55" s="83" t="s">
        <v>3147</v>
      </c>
    </row>
    <row r="56" spans="1:5" ht="25.5" customHeight="1">
      <c r="A56" s="73" t="s">
        <v>2406</v>
      </c>
      <c r="B56" s="82" t="s">
        <v>1233</v>
      </c>
      <c r="C56" s="82" t="s">
        <v>3148</v>
      </c>
      <c r="D56" s="82">
        <v>21</v>
      </c>
      <c r="E56" s="83" t="s">
        <v>3149</v>
      </c>
    </row>
    <row r="57" spans="1:5" ht="25.5" customHeight="1">
      <c r="A57" s="73" t="s">
        <v>2406</v>
      </c>
      <c r="B57" s="82" t="s">
        <v>148</v>
      </c>
      <c r="C57" s="82" t="s">
        <v>3150</v>
      </c>
      <c r="D57" s="82">
        <v>20</v>
      </c>
      <c r="E57" s="83" t="s">
        <v>3151</v>
      </c>
    </row>
    <row r="58" spans="1:5" ht="25.5" customHeight="1">
      <c r="A58" s="73" t="s">
        <v>2406</v>
      </c>
      <c r="B58" s="82" t="s">
        <v>854</v>
      </c>
      <c r="C58" s="82" t="s">
        <v>3152</v>
      </c>
      <c r="D58" s="82">
        <v>20</v>
      </c>
      <c r="E58" s="83" t="s">
        <v>3153</v>
      </c>
    </row>
    <row r="59" spans="1:5" ht="25.5" customHeight="1">
      <c r="A59" s="73" t="s">
        <v>2406</v>
      </c>
      <c r="B59" s="82" t="s">
        <v>916</v>
      </c>
      <c r="C59" s="82" t="s">
        <v>917</v>
      </c>
      <c r="D59" s="82">
        <v>20</v>
      </c>
      <c r="E59" s="83" t="s">
        <v>3154</v>
      </c>
    </row>
    <row r="60" spans="1:5" ht="25.5" customHeight="1">
      <c r="A60" s="73" t="s">
        <v>2406</v>
      </c>
      <c r="B60" s="82" t="s">
        <v>3155</v>
      </c>
      <c r="C60" s="82" t="s">
        <v>3156</v>
      </c>
      <c r="D60" s="82">
        <v>20</v>
      </c>
      <c r="E60" s="83" t="s">
        <v>3157</v>
      </c>
    </row>
    <row r="61" spans="1:5" ht="25.5" customHeight="1">
      <c r="A61" s="73" t="s">
        <v>2406</v>
      </c>
      <c r="B61" s="82" t="s">
        <v>292</v>
      </c>
      <c r="C61" s="82" t="s">
        <v>293</v>
      </c>
      <c r="D61" s="82">
        <v>17</v>
      </c>
      <c r="E61" s="83" t="s">
        <v>3158</v>
      </c>
    </row>
    <row r="62" spans="1:5" ht="25.5" customHeight="1">
      <c r="A62" s="73" t="s">
        <v>2406</v>
      </c>
      <c r="B62" s="82" t="s">
        <v>660</v>
      </c>
      <c r="C62" s="82" t="s">
        <v>661</v>
      </c>
      <c r="D62" s="82">
        <v>15</v>
      </c>
      <c r="E62" s="83" t="s">
        <v>3159</v>
      </c>
    </row>
    <row r="63" spans="1:5" ht="25.5" customHeight="1">
      <c r="A63" s="73" t="s">
        <v>2406</v>
      </c>
      <c r="B63" s="82" t="s">
        <v>320</v>
      </c>
      <c r="C63" s="82" t="s">
        <v>3160</v>
      </c>
      <c r="D63" s="82">
        <v>15</v>
      </c>
      <c r="E63" s="83" t="s">
        <v>3161</v>
      </c>
    </row>
    <row r="64" spans="1:5" ht="25.5" customHeight="1">
      <c r="A64" s="73" t="s">
        <v>2406</v>
      </c>
      <c r="B64" s="82" t="s">
        <v>960</v>
      </c>
      <c r="C64" s="82" t="s">
        <v>961</v>
      </c>
      <c r="D64" s="82">
        <v>15</v>
      </c>
      <c r="E64" s="83" t="s">
        <v>3162</v>
      </c>
    </row>
    <row r="65" spans="1:5" ht="25.5" customHeight="1">
      <c r="A65" s="73" t="s">
        <v>2406</v>
      </c>
      <c r="B65" s="82" t="s">
        <v>454</v>
      </c>
      <c r="C65" s="82" t="s">
        <v>3163</v>
      </c>
      <c r="D65" s="82">
        <v>15</v>
      </c>
      <c r="E65" s="83" t="s">
        <v>3164</v>
      </c>
    </row>
    <row r="66" spans="1:5" ht="25.5" customHeight="1">
      <c r="A66" s="73" t="s">
        <v>2406</v>
      </c>
      <c r="B66" s="82" t="s">
        <v>3165</v>
      </c>
      <c r="C66" s="82" t="s">
        <v>3166</v>
      </c>
      <c r="D66" s="82">
        <v>14</v>
      </c>
      <c r="E66" s="83" t="s">
        <v>3167</v>
      </c>
    </row>
    <row r="67" spans="1:5" ht="25.5" customHeight="1">
      <c r="A67" s="73" t="s">
        <v>2406</v>
      </c>
      <c r="B67" s="82" t="s">
        <v>3168</v>
      </c>
      <c r="C67" s="82" t="s">
        <v>3169</v>
      </c>
      <c r="D67" s="82">
        <v>13</v>
      </c>
      <c r="E67" s="83" t="s">
        <v>3170</v>
      </c>
    </row>
    <row r="68" spans="1:5" ht="25.5" customHeight="1">
      <c r="A68" s="73" t="s">
        <v>2406</v>
      </c>
      <c r="B68" s="82" t="s">
        <v>950</v>
      </c>
      <c r="C68" s="82" t="s">
        <v>951</v>
      </c>
      <c r="D68" s="82">
        <v>13</v>
      </c>
      <c r="E68" s="83" t="s">
        <v>3171</v>
      </c>
    </row>
    <row r="69" spans="1:5" ht="25.5" customHeight="1">
      <c r="A69" s="73" t="s">
        <v>2406</v>
      </c>
      <c r="B69" s="82" t="s">
        <v>692</v>
      </c>
      <c r="C69" s="82" t="s">
        <v>693</v>
      </c>
      <c r="D69" s="82">
        <v>13</v>
      </c>
      <c r="E69" s="83" t="s">
        <v>3172</v>
      </c>
    </row>
    <row r="70" spans="1:5" ht="25.5" customHeight="1">
      <c r="A70" s="73" t="s">
        <v>2406</v>
      </c>
      <c r="B70" s="82" t="s">
        <v>948</v>
      </c>
      <c r="C70" s="82" t="s">
        <v>3173</v>
      </c>
      <c r="D70" s="82">
        <v>12</v>
      </c>
      <c r="E70" s="83" t="s">
        <v>3174</v>
      </c>
    </row>
    <row r="71" spans="1:5" ht="25.5" customHeight="1">
      <c r="A71" s="73" t="s">
        <v>2406</v>
      </c>
      <c r="B71" s="82" t="s">
        <v>3175</v>
      </c>
      <c r="C71" s="82" t="s">
        <v>3175</v>
      </c>
      <c r="D71" s="82">
        <v>11</v>
      </c>
      <c r="E71" s="83" t="s">
        <v>3176</v>
      </c>
    </row>
    <row r="72" spans="1:5" ht="25.5" customHeight="1">
      <c r="A72" s="73" t="s">
        <v>2406</v>
      </c>
      <c r="B72" s="82" t="s">
        <v>2627</v>
      </c>
      <c r="C72" s="82" t="s">
        <v>2628</v>
      </c>
      <c r="D72" s="82">
        <v>11</v>
      </c>
      <c r="E72" s="83" t="s">
        <v>2629</v>
      </c>
    </row>
    <row r="73" spans="1:5" ht="25.5" customHeight="1">
      <c r="A73" s="73" t="s">
        <v>2406</v>
      </c>
      <c r="B73" s="82" t="s">
        <v>666</v>
      </c>
      <c r="C73" s="82" t="s">
        <v>667</v>
      </c>
      <c r="D73" s="82">
        <v>10</v>
      </c>
      <c r="E73" s="83" t="s">
        <v>3177</v>
      </c>
    </row>
    <row r="74" spans="1:5" ht="25.5" customHeight="1">
      <c r="A74" s="73" t="s">
        <v>2406</v>
      </c>
      <c r="B74" s="82" t="s">
        <v>1411</v>
      </c>
      <c r="C74" s="82" t="s">
        <v>3178</v>
      </c>
      <c r="D74" s="82">
        <v>10</v>
      </c>
      <c r="E74" s="83" t="s">
        <v>3179</v>
      </c>
    </row>
    <row r="75" spans="1:5" ht="25.5" customHeight="1">
      <c r="A75" s="73" t="s">
        <v>2406</v>
      </c>
      <c r="B75" s="82" t="s">
        <v>1359</v>
      </c>
      <c r="C75" s="82" t="s">
        <v>3180</v>
      </c>
      <c r="D75" s="82">
        <v>9</v>
      </c>
      <c r="E75" s="83" t="s">
        <v>3181</v>
      </c>
    </row>
    <row r="76" spans="1:5" ht="25.5" customHeight="1">
      <c r="A76" s="73" t="s">
        <v>2406</v>
      </c>
      <c r="B76" s="82" t="s">
        <v>824</v>
      </c>
      <c r="C76" s="82" t="s">
        <v>825</v>
      </c>
      <c r="D76" s="82">
        <v>8</v>
      </c>
      <c r="E76" s="83" t="s">
        <v>3182</v>
      </c>
    </row>
    <row r="77" spans="1:5" ht="25.5" customHeight="1">
      <c r="A77" s="73" t="s">
        <v>2406</v>
      </c>
      <c r="B77" s="82" t="s">
        <v>3183</v>
      </c>
      <c r="C77" s="82" t="s">
        <v>1424</v>
      </c>
      <c r="D77" s="82">
        <v>8</v>
      </c>
      <c r="E77" s="83" t="s">
        <v>3184</v>
      </c>
    </row>
    <row r="78" spans="1:5" ht="25.5" customHeight="1">
      <c r="A78" s="73" t="s">
        <v>2406</v>
      </c>
      <c r="B78" s="82" t="s">
        <v>3185</v>
      </c>
      <c r="C78" s="82" t="s">
        <v>3186</v>
      </c>
      <c r="D78" s="83">
        <v>8</v>
      </c>
      <c r="E78" s="83" t="s">
        <v>3187</v>
      </c>
    </row>
    <row r="79" spans="1:5" ht="25.5" customHeight="1">
      <c r="A79" s="73" t="s">
        <v>2406</v>
      </c>
      <c r="B79" s="82" t="s">
        <v>1237</v>
      </c>
      <c r="C79" s="82" t="s">
        <v>3188</v>
      </c>
      <c r="D79" s="82">
        <v>7</v>
      </c>
      <c r="E79" s="83" t="s">
        <v>3189</v>
      </c>
    </row>
    <row r="80" spans="1:5" ht="25.5" customHeight="1">
      <c r="A80" s="73" t="s">
        <v>2406</v>
      </c>
      <c r="B80" s="82" t="s">
        <v>3190</v>
      </c>
      <c r="C80" s="82" t="s">
        <v>3191</v>
      </c>
      <c r="D80" s="83"/>
      <c r="E80" s="83"/>
    </row>
    <row r="81" spans="1:5" ht="25.5" customHeight="1">
      <c r="A81" s="73" t="s">
        <v>2406</v>
      </c>
      <c r="B81" s="82" t="s">
        <v>3192</v>
      </c>
      <c r="C81" s="82" t="s">
        <v>3000</v>
      </c>
      <c r="D81" s="83"/>
      <c r="E81" s="83"/>
    </row>
    <row r="82" spans="1:5" ht="25.5" customHeight="1">
      <c r="A82" s="73" t="s">
        <v>2406</v>
      </c>
      <c r="B82" s="82" t="s">
        <v>3193</v>
      </c>
      <c r="C82" s="82" t="s">
        <v>3194</v>
      </c>
      <c r="D82" s="83"/>
      <c r="E82" s="83"/>
    </row>
    <row r="83" spans="1:5" ht="25.5" customHeight="1">
      <c r="A83" s="73" t="s">
        <v>2406</v>
      </c>
      <c r="B83" s="82" t="s">
        <v>3195</v>
      </c>
      <c r="C83" s="82" t="s">
        <v>3196</v>
      </c>
      <c r="D83" s="83"/>
      <c r="E83" s="83"/>
    </row>
    <row r="84" spans="1:5" ht="25.5" customHeight="1">
      <c r="A84" s="73" t="s">
        <v>2406</v>
      </c>
      <c r="B84" s="82" t="s">
        <v>3197</v>
      </c>
      <c r="C84" s="82" t="s">
        <v>3198</v>
      </c>
      <c r="D84" s="83"/>
      <c r="E84" s="83"/>
    </row>
    <row r="85" spans="1:5" ht="25.5" customHeight="1">
      <c r="A85" s="73" t="s">
        <v>2406</v>
      </c>
      <c r="B85" s="82" t="s">
        <v>3199</v>
      </c>
      <c r="C85" s="82" t="s">
        <v>3200</v>
      </c>
      <c r="D85" s="83"/>
      <c r="E85" s="83"/>
    </row>
    <row r="86" spans="1:5" ht="25.5" customHeight="1">
      <c r="A86" s="73" t="s">
        <v>2406</v>
      </c>
      <c r="B86" s="82" t="s">
        <v>3201</v>
      </c>
      <c r="C86" s="82" t="s">
        <v>3202</v>
      </c>
      <c r="D86" s="83"/>
      <c r="E86" s="83"/>
    </row>
    <row r="87" spans="1:5" ht="25.5" customHeight="1">
      <c r="A87" s="73" t="s">
        <v>2406</v>
      </c>
      <c r="B87" s="82" t="s">
        <v>3203</v>
      </c>
      <c r="C87" s="82" t="s">
        <v>3204</v>
      </c>
      <c r="D87" s="83"/>
      <c r="E87" s="83"/>
    </row>
    <row r="88" spans="1:5" ht="25.5" customHeight="1">
      <c r="A88" s="73" t="s">
        <v>2406</v>
      </c>
      <c r="B88" s="82" t="s">
        <v>3205</v>
      </c>
      <c r="C88" s="82" t="s">
        <v>3206</v>
      </c>
      <c r="D88" s="83"/>
      <c r="E88" s="83"/>
    </row>
    <row r="89" spans="1:5" ht="25.5" customHeight="1">
      <c r="A89" s="73" t="s">
        <v>2406</v>
      </c>
      <c r="B89" s="82" t="s">
        <v>3207</v>
      </c>
      <c r="C89" s="82" t="s">
        <v>3208</v>
      </c>
      <c r="D89" s="83"/>
      <c r="E89" s="83"/>
    </row>
    <row r="90" spans="1:5" ht="25.5" customHeight="1">
      <c r="A90" s="73" t="s">
        <v>2406</v>
      </c>
      <c r="B90" s="83" t="s">
        <v>1569</v>
      </c>
      <c r="C90" s="82" t="s">
        <v>1570</v>
      </c>
      <c r="D90" s="83"/>
      <c r="E90" s="83"/>
    </row>
    <row r="91" spans="1:5" ht="25.5" customHeight="1">
      <c r="A91" s="73" t="s">
        <v>2406</v>
      </c>
      <c r="B91" s="82" t="s">
        <v>2263</v>
      </c>
      <c r="C91" s="82" t="s">
        <v>2264</v>
      </c>
      <c r="D91" s="83"/>
      <c r="E91" s="83"/>
    </row>
    <row r="92" spans="1:5" ht="25.5" customHeight="1">
      <c r="A92" s="73" t="s">
        <v>2406</v>
      </c>
      <c r="B92" s="82" t="s">
        <v>1607</v>
      </c>
      <c r="C92" s="82" t="s">
        <v>3209</v>
      </c>
      <c r="D92" s="83"/>
      <c r="E92" s="83"/>
    </row>
    <row r="93" spans="1:5" ht="25.5" customHeight="1">
      <c r="A93" s="73" t="s">
        <v>2406</v>
      </c>
      <c r="B93" s="82" t="s">
        <v>3210</v>
      </c>
      <c r="C93" s="82" t="s">
        <v>3211</v>
      </c>
      <c r="D93" s="83"/>
      <c r="E93" s="83"/>
    </row>
    <row r="94" spans="1:5" ht="25.5" customHeight="1">
      <c r="A94" s="73" t="s">
        <v>2406</v>
      </c>
      <c r="B94" s="82" t="s">
        <v>3212</v>
      </c>
      <c r="C94" s="82" t="s">
        <v>3213</v>
      </c>
      <c r="D94" s="83"/>
      <c r="E94" s="83"/>
    </row>
    <row r="95" spans="1:5" ht="25.5" customHeight="1">
      <c r="A95" s="73" t="s">
        <v>2406</v>
      </c>
      <c r="B95" s="82" t="s">
        <v>3214</v>
      </c>
      <c r="C95" s="82" t="s">
        <v>3215</v>
      </c>
      <c r="D95" s="83"/>
      <c r="E95" s="83"/>
    </row>
    <row r="96" spans="1:5" ht="25.5" customHeight="1">
      <c r="A96" s="73" t="s">
        <v>2406</v>
      </c>
      <c r="B96" s="82" t="s">
        <v>3216</v>
      </c>
      <c r="C96" s="82" t="s">
        <v>3217</v>
      </c>
      <c r="D96" s="83"/>
      <c r="E96" s="83"/>
    </row>
    <row r="97" spans="1:5" ht="25.5" customHeight="1">
      <c r="A97" s="73" t="s">
        <v>2406</v>
      </c>
      <c r="B97" s="83" t="s">
        <v>2347</v>
      </c>
      <c r="C97" s="82" t="s">
        <v>2348</v>
      </c>
      <c r="D97" s="83"/>
      <c r="E97" s="83"/>
    </row>
    <row r="98" spans="1:5" ht="25.5" customHeight="1">
      <c r="A98" s="73" t="s">
        <v>2406</v>
      </c>
      <c r="B98" s="82" t="s">
        <v>1667</v>
      </c>
      <c r="C98" s="82" t="s">
        <v>3218</v>
      </c>
      <c r="D98" s="83"/>
      <c r="E98" s="83"/>
    </row>
    <row r="99" spans="1:5" ht="25.5" customHeight="1">
      <c r="A99" s="73" t="s">
        <v>2406</v>
      </c>
      <c r="B99" s="82" t="s">
        <v>1669</v>
      </c>
      <c r="C99" s="82" t="s">
        <v>3219</v>
      </c>
      <c r="D99" s="83"/>
      <c r="E99" s="83"/>
    </row>
    <row r="100" spans="1:5" s="12" customFormat="1" ht="25.5" customHeight="1">
      <c r="A100" s="73" t="s">
        <v>2406</v>
      </c>
      <c r="B100" s="82" t="s">
        <v>3220</v>
      </c>
      <c r="C100" s="82" t="s">
        <v>2716</v>
      </c>
      <c r="D100" s="83"/>
      <c r="E100" s="83"/>
    </row>
    <row r="101" spans="1:5" s="12" customFormat="1" ht="25.5" customHeight="1">
      <c r="A101" s="73" t="s">
        <v>2406</v>
      </c>
      <c r="B101" s="82" t="s">
        <v>1453</v>
      </c>
      <c r="C101" s="82" t="s">
        <v>1454</v>
      </c>
      <c r="D101" s="83"/>
      <c r="E101" s="83"/>
    </row>
    <row r="102" spans="1:5" ht="12.75"/>
    <row r="103" spans="1:5" ht="12.75"/>
    <row r="104" spans="1:5" ht="12.75">
      <c r="B104" s="85"/>
      <c r="C104" s="86"/>
      <c r="D104" s="85"/>
      <c r="E104" s="89"/>
    </row>
    <row r="105" spans="1:5" ht="15.75" customHeight="1">
      <c r="B105" s="85"/>
      <c r="C105" s="85"/>
      <c r="D105" s="85"/>
      <c r="E105" s="89"/>
    </row>
    <row r="106" spans="1:5" ht="15.75" customHeight="1">
      <c r="B106" s="85"/>
      <c r="C106" s="85"/>
      <c r="D106" s="85"/>
      <c r="E106" s="89"/>
    </row>
    <row r="107" spans="1:5" ht="15.75" customHeight="1">
      <c r="B107" s="85"/>
      <c r="C107" s="85"/>
      <c r="D107" s="85"/>
      <c r="E107" s="89"/>
    </row>
    <row r="108" spans="1:5" ht="15.75" customHeight="1">
      <c r="B108" s="85"/>
      <c r="C108" s="85"/>
      <c r="D108" s="85"/>
      <c r="E108" s="89"/>
    </row>
    <row r="109" spans="1:5" ht="12.75">
      <c r="B109" s="87"/>
      <c r="C109" s="87"/>
      <c r="D109" s="88"/>
      <c r="E109" s="89"/>
    </row>
    <row r="110" spans="1:5" ht="15.75" customHeight="1">
      <c r="B110" s="85"/>
      <c r="C110" s="85"/>
      <c r="D110" s="85"/>
      <c r="E110" s="89"/>
    </row>
    <row r="111" spans="1:5" ht="15.75" customHeight="1">
      <c r="B111" s="85"/>
      <c r="C111" s="85"/>
      <c r="D111" s="85"/>
      <c r="E111" s="89"/>
    </row>
    <row r="112" spans="1:5" ht="15.75" customHeight="1">
      <c r="B112" s="85"/>
      <c r="C112" s="85"/>
      <c r="D112" s="85"/>
      <c r="E112" s="89"/>
    </row>
    <row r="113" spans="2:5" ht="15.75" customHeight="1">
      <c r="B113" s="85"/>
      <c r="C113" s="85"/>
      <c r="D113" s="85"/>
      <c r="E113" s="89"/>
    </row>
    <row r="114" spans="2:5" ht="15.75" customHeight="1">
      <c r="B114" s="85"/>
      <c r="C114" s="85"/>
      <c r="D114" s="85"/>
      <c r="E114" s="89"/>
    </row>
    <row r="115" spans="2:5" ht="15.75" customHeight="1">
      <c r="B115" s="85"/>
      <c r="C115" s="85"/>
      <c r="D115" s="85"/>
      <c r="E115" s="89"/>
    </row>
    <row r="116" spans="2:5" ht="15.75" customHeight="1">
      <c r="B116" s="85"/>
      <c r="C116" s="85"/>
      <c r="D116" s="85"/>
      <c r="E116" s="89"/>
    </row>
    <row r="117" spans="2:5" ht="15.75" customHeight="1">
      <c r="B117" s="85"/>
      <c r="C117" s="85"/>
      <c r="D117" s="85"/>
      <c r="E117" s="89"/>
    </row>
    <row r="118" spans="2:5" ht="15.75" customHeight="1">
      <c r="B118" s="85"/>
      <c r="C118" s="85"/>
      <c r="D118" s="85"/>
      <c r="E118" s="89"/>
    </row>
    <row r="119" spans="2:5" ht="15.75" customHeight="1">
      <c r="B119" s="85"/>
      <c r="C119" s="85"/>
      <c r="D119" s="85"/>
      <c r="E119" s="89"/>
    </row>
    <row r="120" spans="2:5" ht="15.75" customHeight="1">
      <c r="B120" s="85"/>
      <c r="C120" s="85"/>
      <c r="D120" s="85"/>
      <c r="E120" s="89"/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1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customWidth="1"/>
    <col min="2" max="2" width="11.140625" customWidth="1"/>
    <col min="3" max="3" width="76.85546875" customWidth="1"/>
    <col min="4" max="4" width="18.42578125" bestFit="1" customWidth="1"/>
    <col min="5" max="5" width="238.5703125" style="1" customWidth="1"/>
  </cols>
  <sheetData>
    <row r="1" spans="1:25" ht="25.5" customHeight="1">
      <c r="A1" s="71" t="str">
        <f ca="1">IFERROR(__xludf.DUMMYFUNCTION("importrange(""https://docs.google.com/spreadsheets/d/1XeruygnOJdIYxM-EtikpWMUzrxuLoU7kgpg_C7O8X_Q/edit#gid=1867656706"",""CE-JOGOS!A1:J150"")"),"TOP")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5.5" customHeight="1">
      <c r="A2" s="67" t="str">
        <f ca="1">IFERROR(__xludf.DUMMYFUNCTION("""COMPUTED_VALUE"""),"Top 10")</f>
        <v>Top 10</v>
      </c>
      <c r="B2" s="46" t="str">
        <f ca="1">IFERROR(__xludf.DUMMYFUNCTION("""COMPUTED_VALUE"""),"CHIPlay")</f>
        <v>CHIPlay</v>
      </c>
      <c r="C2" s="46" t="str">
        <f ca="1">IFERROR(__xludf.DUMMYFUNCTION("""COMPUTED_VALUE"""),"ACM SIGCHI Annual Symposium on Computer-Human Interaction in Play")</f>
        <v>ACM SIGCHI Annual Symposium on Computer-Human Interaction in Play</v>
      </c>
      <c r="D2" s="46">
        <f ca="1">IFERROR(__xludf.DUMMYFUNCTION("""COMPUTED_VALUE"""),24)</f>
        <v>24</v>
      </c>
      <c r="E2" s="60" t="str">
        <f ca="1">IFERROR(__xludf.DUMMYFUNCTION("""COMPUTED_VALUE"""),"https://scholar.google.com.br/citations?hl=pt-BR&amp;view_op=list_hcore&amp;venue=WNLxUj5tg3gJ.2019")</f>
        <v>https://scholar.google.com.br/citations?hl=pt-BR&amp;view_op=list_hcore&amp;venue=WNLxUj5tg3gJ.2019</v>
      </c>
    </row>
    <row r="3" spans="1:25" ht="25.5" customHeight="1">
      <c r="A3" s="67" t="str">
        <f ca="1">IFERROR(__xludf.DUMMYFUNCTION("""COMPUTED_VALUE"""),"Top 10")</f>
        <v>Top 10</v>
      </c>
      <c r="B3" s="46" t="str">
        <f ca="1">IFERROR(__xludf.DUMMYFUNCTION("""COMPUTED_VALUE"""),"COG")</f>
        <v>COG</v>
      </c>
      <c r="C3" s="46" t="str">
        <f ca="1">IFERROR(__xludf.DUMMYFUNCTION("""COMPUTED_VALUE"""),"IEEE Conference on Games")</f>
        <v>IEEE Conference on Games</v>
      </c>
      <c r="D3" s="46">
        <f ca="1">IFERROR(__xludf.DUMMYFUNCTION("""COMPUTED_VALUE"""),22)</f>
        <v>22</v>
      </c>
      <c r="E3" s="60" t="str">
        <f ca="1">IFERROR(__xludf.DUMMYFUNCTION("""COMPUTED_VALUE"""),"https://scholar.google.com.br/citations?hl=pt-BR&amp;view_op=list_hcore&amp;venue=HU8fT-f-Q8YJ.2018")</f>
        <v>https://scholar.google.com.br/citations?hl=pt-BR&amp;view_op=list_hcore&amp;venue=HU8fT-f-Q8YJ.2018</v>
      </c>
    </row>
    <row r="4" spans="1:25" ht="25.5" customHeight="1">
      <c r="A4" s="67" t="str">
        <f ca="1">IFERROR(__xludf.DUMMYFUNCTION("""COMPUTED_VALUE"""),"Top 10")</f>
        <v>Top 10</v>
      </c>
      <c r="B4" s="46" t="str">
        <f ca="1">IFERROR(__xludf.DUMMYFUNCTION("""COMPUTED_VALUE"""),"FDG")</f>
        <v>FDG</v>
      </c>
      <c r="C4" s="46" t="str">
        <f ca="1">IFERROR(__xludf.DUMMYFUNCTION("""COMPUTED_VALUE"""),"Foundations of Digital Games")</f>
        <v>Foundations of Digital Games</v>
      </c>
      <c r="D4" s="46">
        <f ca="1">IFERROR(__xludf.DUMMYFUNCTION("""COMPUTED_VALUE"""),21)</f>
        <v>21</v>
      </c>
      <c r="E4" s="60" t="str">
        <f ca="1">IFERROR(__xludf.DUMMYFUNCTION("""COMPUTED_VALUE"""),"https://scholar.google.com.br/citations?hl=pt-BR&amp;view_op=list_hcore&amp;venue=_hlLpveVAGkJ.2019")</f>
        <v>https://scholar.google.com.br/citations?hl=pt-BR&amp;view_op=list_hcore&amp;venue=_hlLpveVAGkJ.2019</v>
      </c>
    </row>
    <row r="5" spans="1:25" ht="25.5" customHeight="1">
      <c r="A5" s="67" t="str">
        <f ca="1">IFERROR(__xludf.DUMMYFUNCTION("""COMPUTED_VALUE"""),"Top 10")</f>
        <v>Top 10</v>
      </c>
      <c r="B5" s="46" t="str">
        <f ca="1">IFERROR(__xludf.DUMMYFUNCTION("""COMPUTED_VALUE"""),"AIIDE")</f>
        <v>AIIDE</v>
      </c>
      <c r="C5" s="46" t="str">
        <f ca="1">IFERROR(__xludf.DUMMYFUNCTION("""COMPUTED_VALUE"""),"AAAI Artificial Intelligence and Interactive Digital Entertainment Conference")</f>
        <v>AAAI Artificial Intelligence and Interactive Digital Entertainment Conference</v>
      </c>
      <c r="D5" s="46">
        <f ca="1">IFERROR(__xludf.DUMMYFUNCTION("""COMPUTED_VALUE"""),21)</f>
        <v>21</v>
      </c>
      <c r="E5" s="60" t="str">
        <f ca="1">IFERROR(__xludf.DUMMYFUNCTION("""COMPUTED_VALUE"""),"https://scholar.google.com.br/citations?hl=pt-BR&amp;view_op=list_hcore&amp;venue=5m22OTMIZYcJ.2019")</f>
        <v>https://scholar.google.com.br/citations?hl=pt-BR&amp;view_op=list_hcore&amp;venue=5m22OTMIZYcJ.2019</v>
      </c>
    </row>
    <row r="6" spans="1:25" ht="25.5" customHeight="1">
      <c r="A6" s="67" t="str">
        <f ca="1">IFERROR(__xludf.DUMMYFUNCTION("""COMPUTED_VALUE"""),"Top 10")</f>
        <v>Top 10</v>
      </c>
      <c r="B6" s="46" t="str">
        <f ca="1">IFERROR(__xludf.DUMMYFUNCTION("""COMPUTED_VALUE"""),"IVA")</f>
        <v>IVA</v>
      </c>
      <c r="C6" s="46" t="str">
        <f ca="1">IFERROR(__xludf.DUMMYFUNCTION("""COMPUTED_VALUE"""),"Intelligent Virtual Agents")</f>
        <v>Intelligent Virtual Agents</v>
      </c>
      <c r="D6" s="46">
        <f ca="1">IFERROR(__xludf.DUMMYFUNCTION("""COMPUTED_VALUE"""),19)</f>
        <v>19</v>
      </c>
      <c r="E6" s="60" t="str">
        <f ca="1">IFERROR(__xludf.DUMMYFUNCTION("""COMPUTED_VALUE"""),"https://scholar.google.com.br/citations?hl=pt-BR&amp;view_op=list_hcore&amp;venue=Zy6oN9uVoooJ.2019")</f>
        <v>https://scholar.google.com.br/citations?hl=pt-BR&amp;view_op=list_hcore&amp;venue=Zy6oN9uVoooJ.2019</v>
      </c>
    </row>
    <row r="7" spans="1:25" ht="25.5" customHeight="1">
      <c r="A7" s="67" t="str">
        <f ca="1">IFERROR(__xludf.DUMMYFUNCTION("""COMPUTED_VALUE"""),"Top 10")</f>
        <v>Top 10</v>
      </c>
      <c r="B7" s="46" t="str">
        <f ca="1">IFERROR(__xludf.DUMMYFUNCTION("""COMPUTED_VALUE"""),"ICIDS")</f>
        <v>ICIDS</v>
      </c>
      <c r="C7" s="46" t="str">
        <f ca="1">IFERROR(__xludf.DUMMYFUNCTION("""COMPUTED_VALUE"""),"International Conference on Interactive Digital Storytelling")</f>
        <v>International Conference on Interactive Digital Storytelling</v>
      </c>
      <c r="D7" s="46">
        <f ca="1">IFERROR(__xludf.DUMMYFUNCTION("""COMPUTED_VALUE"""),14)</f>
        <v>14</v>
      </c>
      <c r="E7" s="60" t="str">
        <f ca="1">IFERROR(__xludf.DUMMYFUNCTION("""COMPUTED_VALUE"""),"https://scholar.google.es/citations?hl=en&amp;view_op=list_hcore&amp;venue=zY3wJo2P1ggJ.2019")</f>
        <v>https://scholar.google.es/citations?hl=en&amp;view_op=list_hcore&amp;venue=zY3wJo2P1ggJ.2019</v>
      </c>
    </row>
    <row r="8" spans="1:25" ht="25.5" customHeight="1">
      <c r="A8" s="67" t="str">
        <f ca="1">IFERROR(__xludf.DUMMYFUNCTION("""COMPUTED_VALUE"""),"Top 10")</f>
        <v>Top 10</v>
      </c>
      <c r="B8" s="46" t="str">
        <f ca="1">IFERROR(__xludf.DUMMYFUNCTION("""COMPUTED_VALUE"""),"SI3D")</f>
        <v>SI3D</v>
      </c>
      <c r="C8" s="46" t="str">
        <f ca="1">IFERROR(__xludf.DUMMYFUNCTION("""COMPUTED_VALUE"""),"ACM Symposium on Interactive 3D Graphics")</f>
        <v>ACM Symposium on Interactive 3D Graphics</v>
      </c>
      <c r="D8" s="46">
        <f ca="1">IFERROR(__xludf.DUMMYFUNCTION("""COMPUTED_VALUE"""),15)</f>
        <v>15</v>
      </c>
      <c r="E8" s="60" t="str">
        <f ca="1">IFERROR(__xludf.DUMMYFUNCTION("""COMPUTED_VALUE"""),"https://scholar.google.com.br/citations?hl=pt-BR&amp;view_op=list_hcore&amp;venue=2aIQ9fxzrwkJ.2019")</f>
        <v>https://scholar.google.com.br/citations?hl=pt-BR&amp;view_op=list_hcore&amp;venue=2aIQ9fxzrwkJ.2019</v>
      </c>
    </row>
    <row r="9" spans="1:25" ht="25.5" customHeight="1">
      <c r="A9" s="67" t="str">
        <f ca="1">IFERROR(__xludf.DUMMYFUNCTION("""COMPUTED_VALUE"""),"Top 10")</f>
        <v>Top 10</v>
      </c>
      <c r="B9" s="46" t="str">
        <f ca="1">IFERROR(__xludf.DUMMYFUNCTION("""COMPUTED_VALUE"""),"ICEC")</f>
        <v>ICEC</v>
      </c>
      <c r="C9" s="46" t="str">
        <f ca="1">IFERROR(__xludf.DUMMYFUNCTION("""COMPUTED_VALUE"""),"IFIP International Conference on Entertainment Computing")</f>
        <v>IFIP International Conference on Entertainment Computing</v>
      </c>
      <c r="D9" s="46">
        <f ca="1">IFERROR(__xludf.DUMMYFUNCTION("""COMPUTED_VALUE"""),12)</f>
        <v>12</v>
      </c>
      <c r="E9" s="60" t="str">
        <f ca="1">IFERROR(__xludf.DUMMYFUNCTION("""COMPUTED_VALUE"""),"https://scholar.google.com.br/citations?hl=pt-BR&amp;view_op=list_hcore&amp;venue=4UqKsV2ndCsJ.2019")</f>
        <v>https://scholar.google.com.br/citations?hl=pt-BR&amp;view_op=list_hcore&amp;venue=4UqKsV2ndCsJ.2019</v>
      </c>
    </row>
    <row r="10" spans="1:25" ht="25.5" customHeight="1">
      <c r="A10" s="67" t="str">
        <f ca="1">IFERROR(__xludf.DUMMYFUNCTION("""COMPUTED_VALUE"""),"Top 10")</f>
        <v>Top 10</v>
      </c>
      <c r="B10" s="46" t="str">
        <f ca="1">IFERROR(__xludf.DUMMYFUNCTION("""COMPUTED_VALUE"""),"SEGAH")</f>
        <v>SEGAH</v>
      </c>
      <c r="C10" s="46" t="str">
        <f ca="1">IFERROR(__xludf.DUMMYFUNCTION("""COMPUTED_VALUE"""),"IEEE Serious Games and Applications for Health")</f>
        <v>IEEE Serious Games and Applications for Health</v>
      </c>
      <c r="D10" s="46">
        <f ca="1">IFERROR(__xludf.DUMMYFUNCTION("""COMPUTED_VALUE"""),11)</f>
        <v>11</v>
      </c>
      <c r="E10" s="60" t="str">
        <f ca="1">IFERROR(__xludf.DUMMYFUNCTION("""COMPUTED_VALUE"""),"https://scholar.google.com.br/citations?hl=pt-BR&amp;view_op=list_hcore&amp;venue=a-8QqJpEkyYJ.2019")</f>
        <v>https://scholar.google.com.br/citations?hl=pt-BR&amp;view_op=list_hcore&amp;venue=a-8QqJpEkyYJ.2019</v>
      </c>
    </row>
    <row r="11" spans="1:25" ht="25.5" customHeight="1">
      <c r="A11" s="67" t="str">
        <f ca="1">IFERROR(__xludf.DUMMYFUNCTION("""COMPUTED_VALUE"""),"Top 10")</f>
        <v>Top 10</v>
      </c>
      <c r="B11" s="46" t="str">
        <f ca="1">IFERROR(__xludf.DUMMYFUNCTION("""COMPUTED_VALUE"""),"SBGames")</f>
        <v>SBGames</v>
      </c>
      <c r="C11" s="46" t="str">
        <f ca="1">IFERROR(__xludf.DUMMYFUNCTION("""COMPUTED_VALUE"""),"Brazilian Symposium on Computer Games and Digital Entertainment")</f>
        <v>Brazilian Symposium on Computer Games and Digital Entertainment</v>
      </c>
      <c r="D11" s="46"/>
      <c r="E11" s="60" t="str">
        <f ca="1">IFERROR(__xludf.DUMMYFUNCTION("""COMPUTED_VALUE"""),"https://scholar.google.com/scholar?hl=pt-BR&amp;as_sdt=0%2C5&amp;as_ylo=2014&amp;as_yhi=2018&amp;q=sbgames%2Bsimp%C3%B3sio+brasileiro+de+jogos+e+entretenimento+digital%2Bbrazilian+symposium+on+games+and+entertainment+computing&amp;btnG=")</f>
        <v>https://scholar.google.com/scholar?hl=pt-BR&amp;as_sdt=0%2C5&amp;as_ylo=2014&amp;as_yhi=2018&amp;q=sbgames%2Bsimp%C3%B3sio+brasileiro+de+jogos+e+entretenimento+digital%2Bbrazilian+symposium+on+games+and+entertainment+computing&amp;btnG=</v>
      </c>
    </row>
    <row r="12" spans="1:25" ht="25.5" customHeight="1">
      <c r="A12" s="70" t="str">
        <f ca="1">IFERROR(__xludf.DUMMYFUNCTION("""COMPUTED_VALUE"""),"Top 20")</f>
        <v>Top 20</v>
      </c>
      <c r="B12" s="46" t="str">
        <f ca="1">IFERROR(__xludf.DUMMYFUNCTION("""COMPUTED_VALUE"""),"MIG")</f>
        <v>MIG</v>
      </c>
      <c r="C12" s="69" t="str">
        <f ca="1">IFERROR(__xludf.DUMMYFUNCTION("""COMPUTED_VALUE"""),"ACM Siggraph Conference on Motion in Games")</f>
        <v>ACM Siggraph Conference on Motion in Games</v>
      </c>
      <c r="D12" s="46">
        <f ca="1">IFERROR(__xludf.DUMMYFUNCTION("""COMPUTED_VALUE"""),11)</f>
        <v>11</v>
      </c>
      <c r="E12" s="60" t="str">
        <f ca="1">IFERROR(__xludf.DUMMYFUNCTION("""COMPUTED_VALUE"""),"https://scholar.google.com.br/citations?hl=pt-BR&amp;view_op=list_hcore&amp;venue=Kww2Vi43eP0J.2019")</f>
        <v>https://scholar.google.com.br/citations?hl=pt-BR&amp;view_op=list_hcore&amp;venue=Kww2Vi43eP0J.2019</v>
      </c>
    </row>
    <row r="13" spans="1:25" ht="25.5" customHeight="1">
      <c r="A13" s="70" t="str">
        <f ca="1">IFERROR(__xludf.DUMMYFUNCTION("""COMPUTED_VALUE"""),"Top 20")</f>
        <v>Top 20</v>
      </c>
      <c r="B13" s="46" t="str">
        <f ca="1">IFERROR(__xludf.DUMMYFUNCTION("""COMPUTED_VALUE"""),"GEM")</f>
        <v>GEM</v>
      </c>
      <c r="C13" s="46" t="str">
        <f ca="1">IFERROR(__xludf.DUMMYFUNCTION("""COMPUTED_VALUE"""),"IEEE Games, Entertainment, Media Conference")</f>
        <v>IEEE Games, Entertainment, Media Conference</v>
      </c>
      <c r="D13" s="46">
        <f ca="1">IFERROR(__xludf.DUMMYFUNCTION("""COMPUTED_VALUE"""),11)</f>
        <v>11</v>
      </c>
      <c r="E13" s="60" t="str">
        <f ca="1">IFERROR(__xludf.DUMMYFUNCTION("""COMPUTED_VALUE"""),"https://scholar.google.com.br/citations?hl=pt-BR&amp;view_op=list_hcore&amp;venue=myyzaHpq32QJ.2019")</f>
        <v>https://scholar.google.com.br/citations?hl=pt-BR&amp;view_op=list_hcore&amp;venue=myyzaHpq32QJ.2019</v>
      </c>
    </row>
    <row r="14" spans="1:25" ht="25.5" customHeight="1">
      <c r="A14" s="70" t="str">
        <f ca="1">IFERROR(__xludf.DUMMYFUNCTION("""COMPUTED_VALUE"""),"Top 20")</f>
        <v>Top 20</v>
      </c>
      <c r="B14" s="46" t="str">
        <f ca="1">IFERROR(__xludf.DUMMYFUNCTION("""COMPUTED_VALUE"""),"DIGRA")</f>
        <v>DIGRA</v>
      </c>
      <c r="C14" s="46" t="str">
        <f ca="1">IFERROR(__xludf.DUMMYFUNCTION("""COMPUTED_VALUE"""),"Digital Games Research Association International Conference")</f>
        <v>Digital Games Research Association International Conference</v>
      </c>
      <c r="D14" s="46">
        <f ca="1">IFERROR(__xludf.DUMMYFUNCTION("""COMPUTED_VALUE"""),10)</f>
        <v>10</v>
      </c>
      <c r="E14" s="60" t="str">
        <f ca="1">IFERROR(__xludf.DUMMYFUNCTION("""COMPUTED_VALUE"""),"https://scholar.google.com.br/citations?hl=pt-BR&amp;view_op=list_hcore&amp;venue=ATrEHhPJ3nAJ.2019")</f>
        <v>https://scholar.google.com.br/citations?hl=pt-BR&amp;view_op=list_hcore&amp;venue=ATrEHhPJ3nAJ.2019</v>
      </c>
    </row>
    <row r="15" spans="1:25" ht="25.5" customHeight="1">
      <c r="A15" s="70" t="str">
        <f ca="1">IFERROR(__xludf.DUMMYFUNCTION("""COMPUTED_VALUE"""),"Top 20")</f>
        <v>Top 20</v>
      </c>
      <c r="B15" s="46" t="str">
        <f ca="1">IFERROR(__xludf.DUMMYFUNCTION("""COMPUTED_VALUE"""),"VS-Games")</f>
        <v>VS-Games</v>
      </c>
      <c r="C15" s="46" t="str">
        <f ca="1">IFERROR(__xludf.DUMMYFUNCTION("""COMPUTED_VALUE"""),"International Conference on Virtual Worlds and Games for Serious Applications")</f>
        <v>International Conference on Virtual Worlds and Games for Serious Applications</v>
      </c>
      <c r="D15" s="46">
        <f ca="1">IFERROR(__xludf.DUMMYFUNCTION("""COMPUTED_VALUE"""),9)</f>
        <v>9</v>
      </c>
      <c r="E15" s="60" t="str">
        <f ca="1">IFERROR(__xludf.DUMMYFUNCTION("""COMPUTED_VALUE"""),"https://scholar.google.com.br/citations?hl=pt-BR&amp;view_op=list_hcore&amp;venue=GW3dXd7lzJ8J.2019")</f>
        <v>https://scholar.google.com.br/citations?hl=pt-BR&amp;view_op=list_hcore&amp;venue=GW3dXd7lzJ8J.2019</v>
      </c>
    </row>
    <row r="16" spans="1:25" ht="25.5" customHeight="1">
      <c r="A16" s="70" t="str">
        <f ca="1">IFERROR(__xludf.DUMMYFUNCTION("""COMPUTED_VALUE"""),"Top 20")</f>
        <v>Top 20</v>
      </c>
      <c r="B16" s="46" t="str">
        <f ca="1">IFERROR(__xludf.DUMMYFUNCTION("""COMPUTED_VALUE"""),"CASA")</f>
        <v>CASA</v>
      </c>
      <c r="C16" s="46" t="str">
        <f ca="1">IFERROR(__xludf.DUMMYFUNCTION("""COMPUTED_VALUE"""),"Computer Animation and Social Agents")</f>
        <v>Computer Animation and Social Agents</v>
      </c>
      <c r="D16" s="46">
        <f ca="1">IFERROR(__xludf.DUMMYFUNCTION("""COMPUTED_VALUE"""),17)</f>
        <v>17</v>
      </c>
      <c r="E16" s="60" t="str">
        <f ca="1">IFERROR(__xludf.DUMMYFUNCTION("""COMPUTED_VALUE"""),"https://scholar.google.com.br/citations?hl=pt-BR&amp;view_op=search_venues&amp;vq=%22computer+Animation+and+virtual%22&amp;btnG=")</f>
        <v>https://scholar.google.com.br/citations?hl=pt-BR&amp;view_op=search_venues&amp;vq=%22computer+Animation+and+virtual%22&amp;btnG=</v>
      </c>
    </row>
    <row r="17" spans="1:5" ht="25.5" customHeight="1">
      <c r="A17" s="70" t="str">
        <f ca="1">IFERROR(__xludf.DUMMYFUNCTION("""COMPUTED_VALUE"""),"Top 20")</f>
        <v>Top 20</v>
      </c>
      <c r="B17" s="46" t="str">
        <f ca="1">IFERROR(__xludf.DUMMYFUNCTION("""COMPUTED_VALUE"""),"CGI")</f>
        <v>CGI</v>
      </c>
      <c r="C17" s="46" t="str">
        <f ca="1">IFERROR(__xludf.DUMMYFUNCTION("""COMPUTED_VALUE"""),"Computer Graphics international")</f>
        <v>Computer Graphics international</v>
      </c>
      <c r="D17" s="46">
        <f ca="1">IFERROR(__xludf.DUMMYFUNCTION("""COMPUTED_VALUE"""),8)</f>
        <v>8</v>
      </c>
      <c r="E17" s="60" t="str">
        <f ca="1">IFERROR(__xludf.DUMMYFUNCTION("""COMPUTED_VALUE"""),"https://scholar.google.com.br/citations?hl=pt-BR&amp;view_op=search_venues&amp;vq=%22computer+graphics+international%22&amp;btnG=")</f>
        <v>https://scholar.google.com.br/citations?hl=pt-BR&amp;view_op=search_venues&amp;vq=%22computer+graphics+international%22&amp;btnG=</v>
      </c>
    </row>
    <row r="18" spans="1:5" ht="25.5" customHeight="1">
      <c r="A18" s="73" t="str">
        <f ca="1">IFERROR(__xludf.DUMMYFUNCTION("""COMPUTED_VALUE"""),"Eventos da Área")</f>
        <v>Eventos da Área</v>
      </c>
      <c r="B18" s="46" t="str">
        <f ca="1">IFERROR(__xludf.DUMMYFUNCTION("""COMPUTED_VALUE"""),"ACE")</f>
        <v>ACE</v>
      </c>
      <c r="C18" s="46" t="str">
        <f ca="1">IFERROR(__xludf.DUMMYFUNCTION("""COMPUTED_VALUE"""),"International Conference on Advances in Computer Entertainment Technology")</f>
        <v>International Conference on Advances in Computer Entertainment Technology</v>
      </c>
      <c r="D18" s="46">
        <f ca="1">IFERROR(__xludf.DUMMYFUNCTION("""COMPUTED_VALUE"""),14)</f>
        <v>14</v>
      </c>
      <c r="E18" s="60" t="str">
        <f ca="1">IFERROR(__xludf.DUMMYFUNCTION("""COMPUTED_VALUE"""),"https://scholar.google.com.br/citations?hl=pt-BR&amp;view_op=list_hcore&amp;venue=PIZ9zvbRNZEJ.2019")</f>
        <v>https://scholar.google.com.br/citations?hl=pt-BR&amp;view_op=list_hcore&amp;venue=PIZ9zvbRNZEJ.2019</v>
      </c>
    </row>
    <row r="19" spans="1:5" ht="25.5" customHeight="1">
      <c r="A19" s="73" t="str">
        <f ca="1">IFERROR(__xludf.DUMMYFUNCTION("""COMPUTED_VALUE"""),"Eventos da Área")</f>
        <v>Eventos da Área</v>
      </c>
      <c r="B19" s="46" t="str">
        <f ca="1">IFERROR(__xludf.DUMMYFUNCTION("""COMPUTED_VALUE"""),"Videojogos")</f>
        <v>Videojogos</v>
      </c>
      <c r="C19" s="46" t="str">
        <f ca="1">IFERROR(__xludf.DUMMYFUNCTION("""COMPUTED_VALUE"""),"Conference on Videogame Sciences and Arts")</f>
        <v>Conference on Videogame Sciences and Arts</v>
      </c>
      <c r="D19" s="46"/>
      <c r="E19" s="60"/>
    </row>
    <row r="21" spans="1:5" ht="15.75" customHeight="1">
      <c r="C21" s="12"/>
    </row>
  </sheetData>
  <hyperlinks>
    <hyperlink ref="E2" r:id="rId1" display="https://scholar.google.com.br/citations?hl=pt-BR&amp;view_op=list_hcore&amp;venue=WNLxUj5tg3gJ.2019"/>
    <hyperlink ref="E3" r:id="rId2" display="https://scholar.google.com.br/citations?hl=pt-BR&amp;view_op=list_hcore&amp;venue=HU8fT-f-Q8YJ.2018"/>
    <hyperlink ref="E4" r:id="rId3" display="https://scholar.google.com.br/citations?hl=pt-BR&amp;view_op=list_hcore&amp;venue=_hlLpveVAGkJ.2019"/>
    <hyperlink ref="E5" r:id="rId4" display="https://scholar.google.com.br/citations?hl=pt-BR&amp;view_op=list_hcore&amp;venue=5m22OTMIZYcJ.2019"/>
    <hyperlink ref="E6" r:id="rId5" display="https://scholar.google.com.br/citations?hl=pt-BR&amp;view_op=list_hcore&amp;venue=Zy6oN9uVoooJ.2019"/>
    <hyperlink ref="E7" r:id="rId6" display="https://scholar.google.es/citations?hl=en&amp;view_op=list_hcore&amp;venue=zY3wJo2P1ggJ.2019"/>
    <hyperlink ref="E8" r:id="rId7" display="https://scholar.google.com.br/citations?hl=pt-BR&amp;view_op=list_hcore&amp;venue=2aIQ9fxzrwkJ.2019"/>
    <hyperlink ref="E9" r:id="rId8" display="https://scholar.google.com.br/citations?hl=pt-BR&amp;view_op=list_hcore&amp;venue=4UqKsV2ndCsJ.2019"/>
    <hyperlink ref="E10" r:id="rId9" display="https://scholar.google.com.br/citations?hl=pt-BR&amp;view_op=list_hcore&amp;venue=a-8QqJpEkyYJ.2019"/>
    <hyperlink ref="E11" r:id="rId10" display="https://scholar.google.com/scholar?hl=pt-BR&amp;as_sdt=0%2C5&amp;as_ylo=2014&amp;as_yhi=2018&amp;q=sbgames%2Bsimp%C3%B3sio+brasileiro+de+jogos+e+entretenimento+digital%2Bbrazilian+symposium+on+games+and+entertainment+computing&amp;btnG="/>
    <hyperlink ref="E12" r:id="rId11" display="https://scholar.google.com.br/citations?hl=pt-BR&amp;view_op=list_hcore&amp;venue=Kww2Vi43eP0J.2019"/>
    <hyperlink ref="E13" r:id="rId12" display="https://scholar.google.com.br/citations?hl=pt-BR&amp;view_op=list_hcore&amp;venue=myyzaHpq32QJ.2019"/>
    <hyperlink ref="E14" r:id="rId13" display="https://scholar.google.com.br/citations?hl=pt-BR&amp;view_op=list_hcore&amp;venue=ATrEHhPJ3nAJ.2019"/>
    <hyperlink ref="E15" r:id="rId14" display="https://scholar.google.com.br/citations?hl=pt-BR&amp;view_op=list_hcore&amp;venue=GW3dXd7lzJ8J.2019"/>
    <hyperlink ref="E16" r:id="rId15" display="https://scholar.google.com.br/citations?hl=pt-BR&amp;view_op=search_venues&amp;vq=%22computer+Animation+and+virtual%22&amp;btnG="/>
    <hyperlink ref="E17" r:id="rId16" display="https://scholar.google.com.br/citations?hl=pt-BR&amp;view_op=search_venues&amp;vq=%22computer+graphics+international%22&amp;btnG="/>
    <hyperlink ref="E18" r:id="rId17" display="https://scholar.google.com.br/citations?hl=pt-BR&amp;view_op=list_hcore&amp;venue=PIZ9zvbRNZEJ.2019"/>
  </hyperlink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4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style="43" customWidth="1"/>
    <col min="2" max="2" width="15" style="43" bestFit="1" customWidth="1"/>
    <col min="3" max="3" width="112" style="43" customWidth="1"/>
    <col min="4" max="4" width="4.140625" style="43" customWidth="1"/>
    <col min="5" max="5" width="221.42578125" style="63" customWidth="1"/>
    <col min="6" max="16384" width="12.5703125" style="43"/>
  </cols>
  <sheetData>
    <row r="1" spans="1:25" ht="25.5" customHeight="1">
      <c r="A1" s="71" t="str">
        <f ca="1">IFERROR(__xludf.DUMMYFUNCTION("importrange(""https://docs.google.com/spreadsheets/d/1U_FslyM2w01but1oA4c68tA6loGWwVT2ke4bbkWpZVY/edit#gid=1174342517"",""CE-Geoinformática!A1:J150"")"),"TOP")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ht="25.5" customHeight="1">
      <c r="A2" s="67" t="str">
        <f ca="1">IFERROR(__xludf.DUMMYFUNCTION("""COMPUTED_VALUE"""),"Top 10")</f>
        <v>Top 10</v>
      </c>
      <c r="B2" s="46" t="str">
        <f ca="1">IFERROR(__xludf.DUMMYFUNCTION("""COMPUTED_VALUE"""),"SIGSPATIAL")</f>
        <v>SIGSPATIAL</v>
      </c>
      <c r="C2" s="46" t="str">
        <f ca="1">IFERROR(__xludf.DUMMYFUNCTION("""COMPUTED_VALUE"""),"ACM SIGSPATIAL International Conference on Advances in Geographic Information Systems")</f>
        <v>ACM SIGSPATIAL International Conference on Advances in Geographic Information Systems</v>
      </c>
      <c r="D2" s="46">
        <f ca="1">IFERROR(__xludf.DUMMYFUNCTION("""COMPUTED_VALUE"""),25)</f>
        <v>25</v>
      </c>
      <c r="E2" s="60" t="str">
        <f ca="1">IFERROR(__xludf.DUMMYFUNCTION("""COMPUTED_VALUE"""),"https://scholar.google.com.br/citations?hl=pt-BR&amp;view_op=list_hcore&amp;venue=o8w3q5IHx5MJ.2018")</f>
        <v>https://scholar.google.com.br/citations?hl=pt-BR&amp;view_op=list_hcore&amp;venue=o8w3q5IHx5MJ.2018</v>
      </c>
    </row>
    <row r="3" spans="1:25" ht="25.5" customHeight="1">
      <c r="A3" s="67" t="str">
        <f ca="1">IFERROR(__xludf.DUMMYFUNCTION("""COMPUTED_VALUE"""),"Top 10")</f>
        <v>Top 10</v>
      </c>
      <c r="B3" s="46" t="str">
        <f ca="1">IFERROR(__xludf.DUMMYFUNCTION("""COMPUTED_VALUE"""),"COSIT")</f>
        <v>COSIT</v>
      </c>
      <c r="C3" s="46" t="str">
        <f ca="1">IFERROR(__xludf.DUMMYFUNCTION("""COMPUTED_VALUE"""),"International Conference on Spatial Information Theory")</f>
        <v>International Conference on Spatial Information Theory</v>
      </c>
      <c r="D3" s="46">
        <f ca="1">IFERROR(__xludf.DUMMYFUNCTION("""COMPUTED_VALUE"""),13)</f>
        <v>13</v>
      </c>
      <c r="E3" s="60" t="str">
        <f ca="1">IFERROR(__xludf.DUMMYFUNCTION("""COMPUTED_VALUE"""),"https://scholar.google.com.br/citations?hl=pt-BR&amp;view_op=list_hcore&amp;venue=g1IeG8tN8KAJ.2018")</f>
        <v>https://scholar.google.com.br/citations?hl=pt-BR&amp;view_op=list_hcore&amp;venue=g1IeG8tN8KAJ.2018</v>
      </c>
    </row>
    <row r="4" spans="1:25" ht="25.5" customHeight="1">
      <c r="A4" s="67" t="str">
        <f ca="1">IFERROR(__xludf.DUMMYFUNCTION("""COMPUTED_VALUE"""),"Top 10")</f>
        <v>Top 10</v>
      </c>
      <c r="B4" s="46" t="str">
        <f ca="1">IFERROR(__xludf.DUMMYFUNCTION("""COMPUTED_VALUE"""),"GIScience")</f>
        <v>GIScience</v>
      </c>
      <c r="C4" s="46" t="str">
        <f ca="1">IFERROR(__xludf.DUMMYFUNCTION("""COMPUTED_VALUE"""),"International Conference on Geographic Information Science")</f>
        <v>International Conference on Geographic Information Science</v>
      </c>
      <c r="D4" s="46"/>
      <c r="E4" s="60"/>
    </row>
    <row r="5" spans="1:25" ht="25.5" customHeight="1">
      <c r="A5" s="67" t="str">
        <f ca="1">IFERROR(__xludf.DUMMYFUNCTION("""COMPUTED_VALUE"""),"Top 10")</f>
        <v>Top 10</v>
      </c>
      <c r="B5" s="46" t="str">
        <f ca="1">IFERROR(__xludf.DUMMYFUNCTION("""COMPUTED_VALUE"""),"AGILE")</f>
        <v>AGILE</v>
      </c>
      <c r="C5" s="46" t="str">
        <f ca="1">IFERROR(__xludf.DUMMYFUNCTION("""COMPUTED_VALUE"""),"AGILE Conference on Geo-information Science")</f>
        <v>AGILE Conference on Geo-information Science</v>
      </c>
      <c r="D5" s="46">
        <f ca="1">IFERROR(__xludf.DUMMYFUNCTION("""COMPUTED_VALUE"""),12)</f>
        <v>12</v>
      </c>
      <c r="E5" s="60" t="str">
        <f ca="1">IFERROR(__xludf.DUMMYFUNCTION("""COMPUTED_VALUE"""),"https://scholar.google.com.br/citations?hl=pt-BR&amp;view_op=list_hcore&amp;venue=fPsj9z0U6p8J.2018")</f>
        <v>https://scholar.google.com.br/citations?hl=pt-BR&amp;view_op=list_hcore&amp;venue=fPsj9z0U6p8J.2018</v>
      </c>
    </row>
    <row r="6" spans="1:25" ht="25.5" customHeight="1">
      <c r="A6" s="67" t="str">
        <f ca="1">IFERROR(__xludf.DUMMYFUNCTION("""COMPUTED_VALUE"""),"Top 10")</f>
        <v>Top 10</v>
      </c>
      <c r="B6" s="46" t="str">
        <f ca="1">IFERROR(__xludf.DUMMYFUNCTION("""COMPUTED_VALUE"""),"W2GIS")</f>
        <v>W2GIS</v>
      </c>
      <c r="C6" s="90" t="str">
        <f ca="1">IFERROR(__xludf.DUMMYFUNCTION("""COMPUTED_VALUE"""),"International Symposium on Web and Wireless Geographical Information Systems")</f>
        <v>International Symposium on Web and Wireless Geographical Information Systems</v>
      </c>
      <c r="D6" s="46"/>
      <c r="E6" s="60"/>
    </row>
    <row r="7" spans="1:25" ht="25.5" customHeight="1">
      <c r="A7" s="67" t="str">
        <f ca="1">IFERROR(__xludf.DUMMYFUNCTION("""COMPUTED_VALUE"""),"Top 10")</f>
        <v>Top 10</v>
      </c>
      <c r="B7" s="46" t="str">
        <f ca="1">IFERROR(__xludf.DUMMYFUNCTION("""COMPUTED_VALUE"""),"SSTD")</f>
        <v>SSTD</v>
      </c>
      <c r="C7" s="46" t="str">
        <f ca="1">IFERROR(__xludf.DUMMYFUNCTION("""COMPUTED_VALUE"""),"Symposium on Spatial and Temporal Databases")</f>
        <v>Symposium on Spatial and Temporal Databases</v>
      </c>
      <c r="D7" s="46"/>
      <c r="E7" s="60"/>
    </row>
    <row r="8" spans="1:25" ht="25.5" customHeight="1">
      <c r="A8" s="67" t="str">
        <f ca="1">IFERROR(__xludf.DUMMYFUNCTION("""COMPUTED_VALUE"""),"Top 10")</f>
        <v>Top 10</v>
      </c>
      <c r="B8" s="46" t="str">
        <f ca="1">IFERROR(__xludf.DUMMYFUNCTION("""COMPUTED_VALUE"""),"SSDBM")</f>
        <v>SSDBM</v>
      </c>
      <c r="C8" s="46" t="str">
        <f ca="1">IFERROR(__xludf.DUMMYFUNCTION("""COMPUTED_VALUE"""),"International Conference on Scientific and Statistical Database Management")</f>
        <v>International Conference on Scientific and Statistical Database Management</v>
      </c>
      <c r="D8" s="46">
        <f ca="1">IFERROR(__xludf.DUMMYFUNCTION("""COMPUTED_VALUE"""),16)</f>
        <v>16</v>
      </c>
      <c r="E8" s="60" t="str">
        <f ca="1">IFERROR(__xludf.DUMMYFUNCTION("""COMPUTED_VALUE"""),"https://scholar.google.com.br/citations?hl=pt-BR&amp;view_op=list_hcore&amp;venue=w_KC2fvJJQEJ.2018")</f>
        <v>https://scholar.google.com.br/citations?hl=pt-BR&amp;view_op=list_hcore&amp;venue=w_KC2fvJJQEJ.2018</v>
      </c>
    </row>
    <row r="9" spans="1:25" ht="25.5" customHeight="1">
      <c r="A9" s="67" t="str">
        <f ca="1">IFERROR(__xludf.DUMMYFUNCTION("""COMPUTED_VALUE"""),"Top 10")</f>
        <v>Top 10</v>
      </c>
      <c r="B9" s="46" t="str">
        <f ca="1">IFERROR(__xludf.DUMMYFUNCTION("""COMPUTED_VALUE"""),"eScience")</f>
        <v>eScience</v>
      </c>
      <c r="C9" s="46" t="str">
        <f ca="1">IFERROR(__xludf.DUMMYFUNCTION("""COMPUTED_VALUE"""),"IEEE eScience International Conference")</f>
        <v>IEEE eScience International Conference</v>
      </c>
      <c r="D9" s="46">
        <f ca="1">IFERROR(__xludf.DUMMYFUNCTION("""COMPUTED_VALUE"""),13)</f>
        <v>13</v>
      </c>
      <c r="E9" s="60" t="str">
        <f ca="1">IFERROR(__xludf.DUMMYFUNCTION("""COMPUTED_VALUE"""),"https://scholar.google.com.br/citations?hl=pt-BR&amp;view_op=list_hcore&amp;venue=6RxgACAtCdcJ.2018")</f>
        <v>https://scholar.google.com.br/citations?hl=pt-BR&amp;view_op=list_hcore&amp;venue=6RxgACAtCdcJ.2018</v>
      </c>
    </row>
    <row r="10" spans="1:25" ht="25.5" customHeight="1">
      <c r="A10" s="67" t="str">
        <f ca="1">IFERROR(__xludf.DUMMYFUNCTION("""COMPUTED_VALUE"""),"Top 10")</f>
        <v>Top 10</v>
      </c>
      <c r="B10" s="46" t="str">
        <f ca="1">IFERROR(__xludf.DUMMYFUNCTION("""COMPUTED_VALUE"""),"ER")</f>
        <v>ER</v>
      </c>
      <c r="C10" s="46" t="str">
        <f ca="1">IFERROR(__xludf.DUMMYFUNCTION("""COMPUTED_VALUE"""),"International Conference on Conceptual Modeling")</f>
        <v>International Conference on Conceptual Modeling</v>
      </c>
      <c r="D10" s="46">
        <f ca="1">IFERROR(__xludf.DUMMYFUNCTION("""COMPUTED_VALUE"""),20)</f>
        <v>20</v>
      </c>
      <c r="E10" s="60" t="str">
        <f ca="1">IFERROR(__xludf.DUMMYFUNCTION("""COMPUTED_VALUE"""),"https://scholar.google.com.br/citations?hl=pt-BR&amp;view_op=list_hcore&amp;venue=wB6WaEpFlvgJ.2018")</f>
        <v>https://scholar.google.com.br/citations?hl=pt-BR&amp;view_op=list_hcore&amp;venue=wB6WaEpFlvgJ.2018</v>
      </c>
    </row>
    <row r="11" spans="1:25" ht="25.5" customHeight="1">
      <c r="A11" s="67" t="str">
        <f ca="1">IFERROR(__xludf.DUMMYFUNCTION("""COMPUTED_VALUE"""),"Top 10")</f>
        <v>Top 10</v>
      </c>
      <c r="B11" s="46" t="str">
        <f ca="1">IFERROR(__xludf.DUMMYFUNCTION("""COMPUTED_VALUE"""),"GeoInfo")</f>
        <v>GeoInfo</v>
      </c>
      <c r="C11" s="46" t="str">
        <f ca="1">IFERROR(__xludf.DUMMYFUNCTION("""COMPUTED_VALUE"""),"Brazilian Symposium on Geoinformatics")</f>
        <v>Brazilian Symposium on Geoinformatics</v>
      </c>
      <c r="D11" s="46">
        <f ca="1">IFERROR(__xludf.DUMMYFUNCTION("""COMPUTED_VALUE"""),11)</f>
        <v>11</v>
      </c>
      <c r="E11" s="60" t="str">
        <f ca="1">IFERROR(__xludf.DUMMYFUNCTION("""COMPUTED_VALUE"""),"https://scholar.google.com/citations?hl=pt-BR&amp;user=t3gdFq0AAAAJ&amp;authuser=1&amp;gmla=AJsN-F6LBnjLXtQd-yh39j9RHYHOIsgXmARp2aXa-w-n6ht-ZspeY_ZLXmlvcUlZnpF9t9Y6VbbdXJCOwtaExL8C7awFyoOie5bAayVQdxS-Ln3RDO9Pie4")</f>
        <v>https://scholar.google.com/citations?hl=pt-BR&amp;user=t3gdFq0AAAAJ&amp;authuser=1&amp;gmla=AJsN-F6LBnjLXtQd-yh39j9RHYHOIsgXmARp2aXa-w-n6ht-ZspeY_ZLXmlvcUlZnpF9t9Y6VbbdXJCOwtaExL8C7awFyoOie5bAayVQdxS-Ln3RDO9Pie4</v>
      </c>
      <c r="F11" s="72" t="str">
        <f ca="1">IFERROR(__xludf.DUMMYFUNCTION("""COMPUTED_VALUE"""),"https://scholar.google.com.br/citations?hl=pt-BR&amp;view_op=list_hcore&amp;venue=BQO9C9sz1x8J.2018")</f>
        <v>https://scholar.google.com.br/citations?hl=pt-BR&amp;view_op=list_hcore&amp;venue=BQO9C9sz1x8J.2018</v>
      </c>
    </row>
    <row r="12" spans="1:25" ht="25.5" customHeight="1">
      <c r="A12" s="70" t="str">
        <f ca="1">IFERROR(__xludf.DUMMYFUNCTION("""COMPUTED_VALUE"""),"Top 20")</f>
        <v>Top 20</v>
      </c>
      <c r="B12" s="46" t="str">
        <f ca="1">IFERROR(__xludf.DUMMYFUNCTION("""COMPUTED_VALUE"""),"SBSR")</f>
        <v>SBSR</v>
      </c>
      <c r="C12" s="46" t="str">
        <f ca="1">IFERROR(__xludf.DUMMYFUNCTION("""COMPUTED_VALUE"""),"Simpósio Brasileiro de Sensoriamento Remoto")</f>
        <v>Simpósio Brasileiro de Sensoriamento Remoto</v>
      </c>
      <c r="D12" s="46"/>
      <c r="E12" s="60"/>
    </row>
    <row r="13" spans="1:25" ht="25.5" customHeight="1">
      <c r="A13" s="70" t="str">
        <f ca="1">IFERROR(__xludf.DUMMYFUNCTION("""COMPUTED_VALUE"""),"Top 20")</f>
        <v>Top 20</v>
      </c>
      <c r="B13" s="46" t="str">
        <f ca="1">IFERROR(__xludf.DUMMYFUNCTION("""COMPUTED_VALUE"""),"LocWeb")</f>
        <v>LocWeb</v>
      </c>
      <c r="C13" s="46" t="str">
        <f ca="1">IFERROR(__xludf.DUMMYFUNCTION("""COMPUTED_VALUE"""),"International Workshop on Location and the Web")</f>
        <v>International Workshop on Location and the Web</v>
      </c>
      <c r="D13" s="46"/>
      <c r="E13" s="60"/>
    </row>
    <row r="14" spans="1:25" ht="25.5" customHeight="1">
      <c r="A14" s="70" t="str">
        <f ca="1">IFERROR(__xludf.DUMMYFUNCTION("""COMPUTED_VALUE"""),"Top 20")</f>
        <v>Top 20</v>
      </c>
      <c r="B14" s="46" t="str">
        <f ca="1">IFERROR(__xludf.DUMMYFUNCTION("""COMPUTED_VALUE"""),"GIR")</f>
        <v>GIR</v>
      </c>
      <c r="C14" s="46" t="str">
        <f ca="1">IFERROR(__xludf.DUMMYFUNCTION("""COMPUTED_VALUE"""),"Workshop on Geographic Information Retrieval")</f>
        <v>Workshop on Geographic Information Retrieval</v>
      </c>
      <c r="D14" s="46"/>
      <c r="E14" s="60"/>
    </row>
    <row r="15" spans="1:25" ht="25.5" customHeight="1">
      <c r="A15" s="70" t="str">
        <f ca="1">IFERROR(__xludf.DUMMYFUNCTION("""COMPUTED_VALUE"""),"Top 20")</f>
        <v>Top 20</v>
      </c>
      <c r="B15" s="46" t="str">
        <f ca="1">IFERROR(__xludf.DUMMYFUNCTION("""COMPUTED_VALUE"""),"SeCoGIS")</f>
        <v>SeCoGIS</v>
      </c>
      <c r="C15" s="46" t="str">
        <f ca="1">IFERROR(__xludf.DUMMYFUNCTION("""COMPUTED_VALUE"""),"Workshop on Semantic and Conceptual Issues in Geographic Information Systems")</f>
        <v>Workshop on Semantic and Conceptual Issues in Geographic Information Systems</v>
      </c>
      <c r="D15" s="46"/>
      <c r="E15" s="60"/>
    </row>
    <row r="16" spans="1:25" ht="25.5" customHeight="1">
      <c r="A16" s="70" t="str">
        <f ca="1">IFERROR(__xludf.DUMMYFUNCTION("""COMPUTED_VALUE"""),"Top 20")</f>
        <v>Top 20</v>
      </c>
      <c r="B16" s="46" t="str">
        <f ca="1">IFERROR(__xludf.DUMMYFUNCTION("""COMPUTED_VALUE"""),"LAGIRS")</f>
        <v>LAGIRS</v>
      </c>
      <c r="C16" s="46" t="str">
        <f ca="1">IFERROR(__xludf.DUMMYFUNCTION("""COMPUTED_VALUE"""),"IEEE Latin American GRSS &amp; ISPRS Remote Sensing Conference (LAGIRS)")</f>
        <v>IEEE Latin American GRSS &amp; ISPRS Remote Sensing Conference (LAGIRS)</v>
      </c>
      <c r="D16" s="46"/>
      <c r="E16" s="60"/>
    </row>
    <row r="17" spans="1:5" ht="25.5" customHeight="1">
      <c r="A17" s="70" t="str">
        <f ca="1">IFERROR(__xludf.DUMMYFUNCTION("""COMPUTED_VALUE"""),"Top 20")</f>
        <v>Top 20</v>
      </c>
      <c r="B17" s="46" t="str">
        <f ca="1">IFERROR(__xludf.DUMMYFUNCTION("""COMPUTED_VALUE"""),"IGARSS")</f>
        <v>IGARSS</v>
      </c>
      <c r="C17" s="46" t="str">
        <f ca="1">IFERROR(__xludf.DUMMYFUNCTION("""COMPUTED_VALUE"""),"International Geoscience and Remote Sensing Symposium (IGARSS) ")</f>
        <v xml:space="preserve">International Geoscience and Remote Sensing Symposium (IGARSS) </v>
      </c>
      <c r="D17" s="46"/>
      <c r="E17" s="60"/>
    </row>
    <row r="18" spans="1:5" ht="25.5" customHeight="1">
      <c r="A18" s="70" t="str">
        <f ca="1">IFERROR(__xludf.DUMMYFUNCTION("""COMPUTED_VALUE"""),"Top 20")</f>
        <v>Top 20</v>
      </c>
      <c r="B18" s="46" t="str">
        <f ca="1">IFERROR(__xludf.DUMMYFUNCTION("""COMPUTED_VALUE"""),"GEOprocessing")</f>
        <v>GEOprocessing</v>
      </c>
      <c r="C18" s="46" t="str">
        <f ca="1">IFERROR(__xludf.DUMMYFUNCTION("""COMPUTED_VALUE"""),"International Conference on Advanced Geographic Information Systems, Applications, and Services (GEOProcessing)")</f>
        <v>International Conference on Advanced Geographic Information Systems, Applications, and Services (GEOProcessing)</v>
      </c>
      <c r="D18" s="46"/>
      <c r="E18" s="60"/>
    </row>
    <row r="19" spans="1:5" ht="25.5" customHeight="1">
      <c r="A19" s="70" t="str">
        <f ca="1">IFERROR(__xludf.DUMMYFUNCTION("""COMPUTED_VALUE"""),"Top 20")</f>
        <v>Top 20</v>
      </c>
      <c r="B19" s="46" t="str">
        <f ca="1">IFERROR(__xludf.DUMMYFUNCTION("""COMPUTED_VALUE"""),"GEOBIA")</f>
        <v>GEOBIA</v>
      </c>
      <c r="C19" s="46" t="str">
        <f ca="1">IFERROR(__xludf.DUMMYFUNCTION("""COMPUTED_VALUE"""),"Geographic Object-based Image Analysis (GEOBIA)")</f>
        <v>Geographic Object-based Image Analysis (GEOBIA)</v>
      </c>
      <c r="D19" s="46"/>
      <c r="E19" s="60"/>
    </row>
    <row r="20" spans="1:5" ht="25.5" customHeight="1">
      <c r="A20" s="73" t="str">
        <f ca="1">IFERROR(__xludf.DUMMYFUNCTION("""COMPUTED_VALUE"""),"Eventos da Área")</f>
        <v>Eventos da Área</v>
      </c>
      <c r="B20" s="46" t="str">
        <f ca="1">IFERROR(__xludf.DUMMYFUNCTION("""COMPUTED_VALUE"""),"PLATIAL")</f>
        <v>PLATIAL</v>
      </c>
      <c r="C20" s="91" t="str">
        <f ca="1">IFERROR(__xludf.DUMMYFUNCTION("""COMPUTED_VALUE"""),"International Symposium on Platial Information Science")</f>
        <v>International Symposium on Platial Information Science</v>
      </c>
      <c r="D20" s="46"/>
      <c r="E20" s="60"/>
    </row>
    <row r="21" spans="1:5" ht="25.5" customHeight="1">
      <c r="A21" s="73" t="str">
        <f ca="1">IFERROR(__xludf.DUMMYFUNCTION("""COMPUTED_VALUE"""),"Eventos da Área")</f>
        <v>Eventos da Área</v>
      </c>
      <c r="B21" s="46" t="str">
        <f ca="1">IFERROR(__xludf.DUMMYFUNCTION("""COMPUTED_VALUE"""),"ARIC")</f>
        <v>ARIC</v>
      </c>
      <c r="C21" s="46" t="str">
        <f ca="1">IFERROR(__xludf.DUMMYFUNCTION("""COMPUTED_VALUE"""),"International Workshop on Intelligent and Resilient Cities")</f>
        <v>International Workshop on Intelligent and Resilient Cities</v>
      </c>
      <c r="D21" s="46"/>
      <c r="E21" s="60"/>
    </row>
    <row r="22" spans="1:5" ht="25.5" customHeight="1">
      <c r="A22" s="73" t="str">
        <f ca="1">IFERROR(__xludf.DUMMYFUNCTION("""COMPUTED_VALUE"""),"Eventos da Área")</f>
        <v>Eventos da Área</v>
      </c>
      <c r="B22" s="46" t="str">
        <f ca="1">IFERROR(__xludf.DUMMYFUNCTION("""COMPUTED_VALUE"""),"GeoAI")</f>
        <v>GeoAI</v>
      </c>
      <c r="C22" s="46" t="str">
        <f ca="1">IFERROR(__xludf.DUMMYFUNCTION("""COMPUTED_VALUE"""),"International Workshop on AI for Geographic Knowledge Discovery")</f>
        <v>International Workshop on AI for Geographic Knowledge Discovery</v>
      </c>
      <c r="D22" s="46"/>
      <c r="E22" s="60"/>
    </row>
    <row r="23" spans="1:5" ht="25.5" customHeight="1">
      <c r="A23" s="73" t="str">
        <f ca="1">IFERROR(__xludf.DUMMYFUNCTION("""COMPUTED_VALUE"""),"Eventos da Área")</f>
        <v>Eventos da Área</v>
      </c>
      <c r="B23" s="46" t="str">
        <f ca="1">IFERROR(__xludf.DUMMYFUNCTION("""COMPUTED_VALUE"""),"IWCTS")</f>
        <v>IWCTS</v>
      </c>
      <c r="C23" s="46" t="str">
        <f ca="1">IFERROR(__xludf.DUMMYFUNCTION("""COMPUTED_VALUE"""),"International Workshop on Computational Transportation Science")</f>
        <v>International Workshop on Computational Transportation Science</v>
      </c>
      <c r="D23" s="46"/>
      <c r="E23" s="60"/>
    </row>
    <row r="24" spans="1:5" ht="25.5" customHeight="1">
      <c r="A24" s="73" t="str">
        <f ca="1">IFERROR(__xludf.DUMMYFUNCTION("""COMPUTED_VALUE"""),"Eventos da Área")</f>
        <v>Eventos da Área</v>
      </c>
      <c r="B24" s="46" t="str">
        <f ca="1">IFERROR(__xludf.DUMMYFUNCTION("""COMPUTED_VALUE"""),"BigSpatial")</f>
        <v>BigSpatial</v>
      </c>
      <c r="C24" s="46" t="str">
        <f ca="1">IFERROR(__xludf.DUMMYFUNCTION("""COMPUTED_VALUE"""),"International Workshop on Analytics for Big Geospatial Data")</f>
        <v>International Workshop on Analytics for Big Geospatial Data</v>
      </c>
      <c r="D24" s="46"/>
      <c r="E24" s="60"/>
    </row>
    <row r="25" spans="1:5" ht="25.5" customHeight="1">
      <c r="A25" s="73" t="str">
        <f ca="1">IFERROR(__xludf.DUMMYFUNCTION("""COMPUTED_VALUE"""),"Eventos da Área")</f>
        <v>Eventos da Área</v>
      </c>
      <c r="B25" s="46" t="str">
        <f ca="1">IFERROR(__xludf.DUMMYFUNCTION("""COMPUTED_VALUE"""),"EM-GIS")</f>
        <v>EM-GIS</v>
      </c>
      <c r="C25" s="46" t="str">
        <f ca="1">IFERROR(__xludf.DUMMYFUNCTION("""COMPUTED_VALUE"""),"International Workshop on the Use of GIS in Emergency Management")</f>
        <v>International Workshop on the Use of GIS in Emergency Management</v>
      </c>
      <c r="D25" s="46"/>
      <c r="E25" s="60"/>
    </row>
    <row r="26" spans="1:5" ht="25.5" customHeight="1">
      <c r="A26" s="73" t="str">
        <f ca="1">IFERROR(__xludf.DUMMYFUNCTION("""COMPUTED_VALUE"""),"Eventos da Área")</f>
        <v>Eventos da Área</v>
      </c>
      <c r="B26" s="46" t="str">
        <f ca="1">IFERROR(__xludf.DUMMYFUNCTION("""COMPUTED_VALUE"""),"PredictGIS")</f>
        <v>PredictGIS</v>
      </c>
      <c r="C26" s="46" t="str">
        <f ca="1">IFERROR(__xludf.DUMMYFUNCTION("""COMPUTED_VALUE"""),"International Workshop on Prediction of Human Mobility")</f>
        <v>International Workshop on Prediction of Human Mobility</v>
      </c>
      <c r="D26" s="46"/>
      <c r="E26" s="60"/>
    </row>
    <row r="27" spans="1:5" ht="25.5" customHeight="1">
      <c r="A27" s="73" t="str">
        <f ca="1">IFERROR(__xludf.DUMMYFUNCTION("""COMPUTED_VALUE"""),"Eventos da Área")</f>
        <v>Eventos da Área</v>
      </c>
      <c r="B27" s="46" t="str">
        <f ca="1">IFERROR(__xludf.DUMMYFUNCTION("""COMPUTED_VALUE"""),"GeoSim")</f>
        <v>GeoSim</v>
      </c>
      <c r="C27" s="46" t="str">
        <f ca="1">IFERROR(__xludf.DUMMYFUNCTION("""COMPUTED_VALUE"""),"International Workshop on Geospatial Simulation")</f>
        <v>International Workshop on Geospatial Simulation</v>
      </c>
      <c r="D27" s="46"/>
      <c r="E27" s="60"/>
    </row>
    <row r="28" spans="1:5" ht="25.5" customHeight="1">
      <c r="A28" s="73" t="str">
        <f ca="1">IFERROR(__xludf.DUMMYFUNCTION("""COMPUTED_VALUE"""),"Eventos da Área")</f>
        <v>Eventos da Área</v>
      </c>
      <c r="B28" s="46" t="str">
        <f ca="1">IFERROR(__xludf.DUMMYFUNCTION("""COMPUTED_VALUE"""),"LocalRec")</f>
        <v>LocalRec</v>
      </c>
      <c r="C28" s="46" t="str">
        <f ca="1">IFERROR(__xludf.DUMMYFUNCTION("""COMPUTED_VALUE"""),"International Workshop on Location-Based Recommendations, Geosocial Networks and Geoadvertising")</f>
        <v>International Workshop on Location-Based Recommendations, Geosocial Networks and Geoadvertising</v>
      </c>
      <c r="D28" s="46"/>
      <c r="E28" s="60"/>
    </row>
    <row r="29" spans="1:5" ht="25.5" customHeight="1">
      <c r="A29" s="73" t="str">
        <f ca="1">IFERROR(__xludf.DUMMYFUNCTION("""COMPUTED_VALUE"""),"Eventos da Área")</f>
        <v>Eventos da Área</v>
      </c>
      <c r="B29" s="46" t="str">
        <f ca="1">IFERROR(__xludf.DUMMYFUNCTION("""COMPUTED_VALUE"""),"GVIZ")</f>
        <v>GVIZ</v>
      </c>
      <c r="C29" s="46" t="str">
        <f ca="1">IFERROR(__xludf.DUMMYFUNCTION("""COMPUTED_VALUE"""),"Workshop on New Directions in Geovisual Analytics")</f>
        <v>Workshop on New Directions in Geovisual Analytics</v>
      </c>
      <c r="D29" s="46"/>
      <c r="E29" s="60"/>
    </row>
    <row r="30" spans="1:5" ht="25.5" customHeight="1">
      <c r="A30" s="73" t="str">
        <f ca="1">IFERROR(__xludf.DUMMYFUNCTION("""COMPUTED_VALUE"""),"Eventos da Área")</f>
        <v>Eventos da Área</v>
      </c>
      <c r="B30" s="46" t="str">
        <f ca="1">IFERROR(__xludf.DUMMYFUNCTION("""COMPUTED_VALUE"""),"LoPaS")</f>
        <v>LoPaS</v>
      </c>
      <c r="C30" s="46" t="str">
        <f ca="1">IFERROR(__xludf.DUMMYFUNCTION("""COMPUTED_VALUE"""),"Location Privacy and Security Workshop")</f>
        <v>Location Privacy and Security Workshop</v>
      </c>
      <c r="D30" s="46"/>
      <c r="E30" s="60"/>
    </row>
    <row r="31" spans="1:5" ht="25.5" customHeight="1">
      <c r="A31" s="73" t="str">
        <f ca="1">IFERROR(__xludf.DUMMYFUNCTION("""COMPUTED_VALUE"""),"Eventos da Área")</f>
        <v>Eventos da Área</v>
      </c>
      <c r="B31" s="46" t="str">
        <f ca="1">IFERROR(__xludf.DUMMYFUNCTION("""COMPUTED_VALUE"""),"SpatialBigData")</f>
        <v>SpatialBigData</v>
      </c>
      <c r="C31" s="46" t="str">
        <f ca="1">IFERROR(__xludf.DUMMYFUNCTION("""COMPUTED_VALUE"""),"Spatial Big Data and Machine Learning in GIScience")</f>
        <v>Spatial Big Data and Machine Learning in GIScience</v>
      </c>
      <c r="D31" s="46"/>
      <c r="E31" s="60"/>
    </row>
    <row r="32" spans="1:5" ht="25.5" customHeight="1">
      <c r="A32" s="73" t="str">
        <f ca="1">IFERROR(__xludf.DUMMYFUNCTION("""COMPUTED_VALUE"""),"Eventos da Área")</f>
        <v>Eventos da Área</v>
      </c>
      <c r="B32" s="46" t="str">
        <f ca="1">IFERROR(__xludf.DUMMYFUNCTION("""COMPUTED_VALUE"""),"CoARCH")</f>
        <v>CoARCH</v>
      </c>
      <c r="C32" s="46" t="str">
        <f ca="1">IFERROR(__xludf.DUMMYFUNCTION("""COMPUTED_VALUE"""),"Workshop On Computing Techniques For Spatio-Temporal Data in Archaeology And Cultural Heritage")</f>
        <v>Workshop On Computing Techniques For Spatio-Temporal Data in Archaeology And Cultural Heritage</v>
      </c>
      <c r="D32" s="46"/>
      <c r="E32" s="60"/>
    </row>
    <row r="33" spans="1:5" ht="25.5" customHeight="1">
      <c r="A33" s="73" t="str">
        <f ca="1">IFERROR(__xludf.DUMMYFUNCTION("""COMPUTED_VALUE"""),"Eventos da Área")</f>
        <v>Eventos da Área</v>
      </c>
      <c r="B33" s="46" t="str">
        <f ca="1">IFERROR(__xludf.DUMMYFUNCTION("""COMPUTED_VALUE"""),"AMD")</f>
        <v>AMD</v>
      </c>
      <c r="C33" s="46" t="str">
        <f ca="1">IFERROR(__xludf.DUMMYFUNCTION("""COMPUTED_VALUE"""),"Workshop on Analysis of Movement Data")</f>
        <v>Workshop on Analysis of Movement Data</v>
      </c>
      <c r="D33" s="46"/>
      <c r="E33" s="60"/>
    </row>
    <row r="34" spans="1:5" ht="25.5" customHeight="1">
      <c r="A34" s="73" t="str">
        <f ca="1">IFERROR(__xludf.DUMMYFUNCTION("""COMPUTED_VALUE"""),"Eventos da Área")</f>
        <v>Eventos da Área</v>
      </c>
      <c r="B34" s="46" t="str">
        <f ca="1">IFERROR(__xludf.DUMMYFUNCTION("""COMPUTED_VALUE"""),"CCSI")</f>
        <v>CCSI</v>
      </c>
      <c r="C34" s="46" t="str">
        <f ca="1">IFERROR(__xludf.DUMMYFUNCTION("""COMPUTED_VALUE"""),"Workshop on Core Computations on Spatial Information")</f>
        <v>Workshop on Core Computations on Spatial Information</v>
      </c>
      <c r="D34" s="46"/>
      <c r="E34" s="60"/>
    </row>
  </sheetData>
  <hyperlinks>
    <hyperlink ref="E2" r:id="rId1" display="https://scholar.google.com.br/citations?hl=pt-BR&amp;view_op=list_hcore&amp;venue=o8w3q5IHx5MJ.2018"/>
    <hyperlink ref="E3" r:id="rId2" display="https://scholar.google.com.br/citations?hl=pt-BR&amp;view_op=list_hcore&amp;venue=g1IeG8tN8KAJ.2018"/>
    <hyperlink ref="E5" r:id="rId3" display="https://scholar.google.com.br/citations?hl=pt-BR&amp;view_op=list_hcore&amp;venue=fPsj9z0U6p8J.2018"/>
    <hyperlink ref="E8" r:id="rId4" display="https://scholar.google.com.br/citations?hl=pt-BR&amp;view_op=list_hcore&amp;venue=w_KC2fvJJQEJ.2018"/>
    <hyperlink ref="E9" r:id="rId5" display="https://scholar.google.com.br/citations?hl=pt-BR&amp;view_op=list_hcore&amp;venue=6RxgACAtCdcJ.2018"/>
    <hyperlink ref="E10" r:id="rId6" display="https://scholar.google.com.br/citations?hl=pt-BR&amp;view_op=list_hcore&amp;venue=wB6WaEpFlvgJ.2018"/>
    <hyperlink ref="E11" r:id="rId7" display="https://scholar.google.com/citations?hl=pt-BR&amp;user=t3gdFq0AAAAJ&amp;authuser=1&amp;gmla=AJsN-F6LBnjLXtQd-yh39j9RHYHOIsgXmARp2aXa-w-n6ht-ZspeY_ZLXmlvcUlZnpF9t9Y6VbbdXJCOwtaExL8C7awFyoOie5bAayVQdxS-Ln3RDO9Pie4"/>
    <hyperlink ref="F11" r:id="rId8" display="https://scholar.google.com.br/citations?hl=pt-BR&amp;view_op=list_hcore&amp;venue=BQO9C9sz1x8J.2018"/>
  </hyperlink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customWidth="1"/>
    <col min="2" max="2" width="16.140625" bestFit="1" customWidth="1"/>
    <col min="3" max="3" width="101" customWidth="1"/>
    <col min="4" max="4" width="4.140625" customWidth="1"/>
    <col min="5" max="5" width="92.7109375" style="1" customWidth="1"/>
  </cols>
  <sheetData>
    <row r="1" spans="1:25" ht="25.5" customHeight="1">
      <c r="A1" s="71" t="str">
        <f ca="1">IFERROR(__xludf.DUMMYFUNCTION("importrange(""https://docs.google.com/spreadsheets/d/1ENY4kKuw6dT1gQJ22bmDoPdN18cKfdAgFUaS2iupaSQ/edit#gid=1283748378"",""CE-CAS!A1:J150"")"),"TOP")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5.5" customHeight="1">
      <c r="A2" s="67" t="str">
        <f ca="1">IFERROR(__xludf.DUMMYFUNCTION("""COMPUTED_VALUE"""),"Top 10")</f>
        <v>Top 10</v>
      </c>
      <c r="B2" s="46" t="str">
        <f ca="1">IFERROR(__xludf.DUMMYFUNCTION("""COMPUTED_VALUE"""),"MICCAI")</f>
        <v>MICCAI</v>
      </c>
      <c r="C2" s="46" t="str">
        <f ca="1">IFERROR(__xludf.DUMMYFUNCTION("""COMPUTED_VALUE"""),"International Conference on Medical Image Computing and Computer Assisted Intervention")</f>
        <v>International Conference on Medical Image Computing and Computer Assisted Intervention</v>
      </c>
      <c r="D2" s="46">
        <f ca="1">IFERROR(__xludf.DUMMYFUNCTION("""COMPUTED_VALUE"""),46)</f>
        <v>46</v>
      </c>
      <c r="E2" s="60" t="str">
        <f ca="1">IFERROR(__xludf.DUMMYFUNCTION("""COMPUTED_VALUE"""),"https://scholar.google.com/citations?hl=en&amp;view_op=list_hcore&amp;venue=QLpioUFGyGMJ.2019")</f>
        <v>https://scholar.google.com/citations?hl=en&amp;view_op=list_hcore&amp;venue=QLpioUFGyGMJ.2019</v>
      </c>
    </row>
    <row r="3" spans="1:25" ht="25.5" customHeight="1">
      <c r="A3" s="67" t="str">
        <f ca="1">IFERROR(__xludf.DUMMYFUNCTION("""COMPUTED_VALUE"""),"Top 10")</f>
        <v>Top 10</v>
      </c>
      <c r="B3" s="46" t="str">
        <f ca="1">IFERROR(__xludf.DUMMYFUNCTION("""COMPUTED_VALUE"""),"EMBC")</f>
        <v>EMBC</v>
      </c>
      <c r="C3" s="46" t="str">
        <f ca="1">IFERROR(__xludf.DUMMYFUNCTION("""COMPUTED_VALUE"""),"International Conference of the IEEE Engineering in Medicine and Biology Society")</f>
        <v>International Conference of the IEEE Engineering in Medicine and Biology Society</v>
      </c>
      <c r="D3" s="46">
        <f ca="1">IFERROR(__xludf.DUMMYFUNCTION("""COMPUTED_VALUE"""),34)</f>
        <v>34</v>
      </c>
      <c r="E3" s="60" t="str">
        <f ca="1">IFERROR(__xludf.DUMMYFUNCTION("""COMPUTED_VALUE"""),"https://scholar.google.com/citations?hl=en&amp;view_op=list_hcore&amp;venue=bZm_HiepFhUJ.2019")</f>
        <v>https://scholar.google.com/citations?hl=en&amp;view_op=list_hcore&amp;venue=bZm_HiepFhUJ.2019</v>
      </c>
    </row>
    <row r="4" spans="1:25" ht="25.5" customHeight="1">
      <c r="A4" s="67" t="str">
        <f ca="1">IFERROR(__xludf.DUMMYFUNCTION("""COMPUTED_VALUE"""),"Top 10")</f>
        <v>Top 10</v>
      </c>
      <c r="B4" s="46" t="str">
        <f ca="1">IFERROR(__xludf.DUMMYFUNCTION("""COMPUTED_VALUE"""),"AMIA")</f>
        <v>AMIA</v>
      </c>
      <c r="C4" s="46" t="str">
        <f ca="1">IFERROR(__xludf.DUMMYFUNCTION("""COMPUTED_VALUE"""),"AMIA Symposium")</f>
        <v>AMIA Symposium</v>
      </c>
      <c r="D4" s="46">
        <f ca="1">IFERROR(__xludf.DUMMYFUNCTION("""COMPUTED_VALUE"""),25)</f>
        <v>25</v>
      </c>
      <c r="E4" s="60" t="str">
        <f ca="1">IFERROR(__xludf.DUMMYFUNCTION("""COMPUTED_VALUE"""),"https://scholar.google.com/citations?hl=en&amp;view_op=list_hcore&amp;venue=MtqRwGWQK3AJ.2019")</f>
        <v>https://scholar.google.com/citations?hl=en&amp;view_op=list_hcore&amp;venue=MtqRwGWQK3AJ.2019</v>
      </c>
    </row>
    <row r="5" spans="1:25" ht="25.5" customHeight="1">
      <c r="A5" s="67" t="str">
        <f ca="1">IFERROR(__xludf.DUMMYFUNCTION("""COMPUTED_VALUE"""),"Top 10")</f>
        <v>Top 10</v>
      </c>
      <c r="B5" s="46" t="str">
        <f ca="1">IFERROR(__xludf.DUMMYFUNCTION("""COMPUTED_VALUE"""),"MEDINFO")</f>
        <v>MEDINFO</v>
      </c>
      <c r="C5" s="46" t="str">
        <f ca="1">IFERROR(__xludf.DUMMYFUNCTION("""COMPUTED_VALUE"""),"World Congress on Medical and Health Informatics")</f>
        <v>World Congress on Medical and Health Informatics</v>
      </c>
      <c r="D5" s="46">
        <f ca="1">IFERROR(__xludf.DUMMYFUNCTION("""COMPUTED_VALUE"""),23)</f>
        <v>23</v>
      </c>
      <c r="E5" s="60" t="str">
        <f ca="1">IFERROR(__xludf.DUMMYFUNCTION("""COMPUTED_VALUE"""),"https://scholar.google.com/citations?hl=en&amp;view_op=list_hcore&amp;venue=dZLYXaFx_-EJ.2019")</f>
        <v>https://scholar.google.com/citations?hl=en&amp;view_op=list_hcore&amp;venue=dZLYXaFx_-EJ.2019</v>
      </c>
    </row>
    <row r="6" spans="1:25" ht="25.5" customHeight="1">
      <c r="A6" s="67" t="str">
        <f ca="1">IFERROR(__xludf.DUMMYFUNCTION("""COMPUTED_VALUE"""),"Top 10")</f>
        <v>Top 10</v>
      </c>
      <c r="B6" s="46" t="str">
        <f ca="1">IFERROR(__xludf.DUMMYFUNCTION("""COMPUTED_VALUE"""),"PervasiveHealth")</f>
        <v>PervasiveHealth</v>
      </c>
      <c r="C6" s="46" t="str">
        <f ca="1">IFERROR(__xludf.DUMMYFUNCTION("""COMPUTED_VALUE"""),"International Conference on Pervasive Computing Technologies for Healthcare")</f>
        <v>International Conference on Pervasive Computing Technologies for Healthcare</v>
      </c>
      <c r="D6" s="46">
        <f ca="1">IFERROR(__xludf.DUMMYFUNCTION("""COMPUTED_VALUE"""),17)</f>
        <v>17</v>
      </c>
      <c r="E6" s="60" t="str">
        <f ca="1">IFERROR(__xludf.DUMMYFUNCTION("""COMPUTED_VALUE"""),"https://scholar.google.com/citations?hl=en&amp;view_op=list_hcore&amp;venue=e4Ty9mKqcmgJ.2019")</f>
        <v>https://scholar.google.com/citations?hl=en&amp;view_op=list_hcore&amp;venue=e4Ty9mKqcmgJ.2019</v>
      </c>
    </row>
    <row r="7" spans="1:25" ht="25.5" customHeight="1">
      <c r="A7" s="67" t="str">
        <f ca="1">IFERROR(__xludf.DUMMYFUNCTION("""COMPUTED_VALUE"""),"Top 10")</f>
        <v>Top 10</v>
      </c>
      <c r="B7" s="46" t="str">
        <f ca="1">IFERROR(__xludf.DUMMYFUNCTION("""COMPUTED_VALUE"""),"BCB")</f>
        <v>BCB</v>
      </c>
      <c r="C7" s="46" t="str">
        <f ca="1">IFERROR(__xludf.DUMMYFUNCTION("""COMPUTED_VALUE"""),"ACM Conference on Bioinformatics, Computational Biology, and Health Informatics")</f>
        <v>ACM Conference on Bioinformatics, Computational Biology, and Health Informatics</v>
      </c>
      <c r="D7" s="46">
        <f ca="1">IFERROR(__xludf.DUMMYFUNCTION("""COMPUTED_VALUE"""),19)</f>
        <v>19</v>
      </c>
      <c r="E7" s="60" t="str">
        <f ca="1">IFERROR(__xludf.DUMMYFUNCTION("""COMPUTED_VALUE"""),"https://scholar.google.com/citations?hl=en&amp;view_op=list_hcore&amp;venue=A0r8tJR7iaEJ.2019")</f>
        <v>https://scholar.google.com/citations?hl=en&amp;view_op=list_hcore&amp;venue=A0r8tJR7iaEJ.2019</v>
      </c>
    </row>
    <row r="8" spans="1:25" ht="25.5" customHeight="1">
      <c r="A8" s="67" t="str">
        <f ca="1">IFERROR(__xludf.DUMMYFUNCTION("""COMPUTED_VALUE"""),"Top 10")</f>
        <v>Top 10</v>
      </c>
      <c r="B8" s="46" t="str">
        <f ca="1">IFERROR(__xludf.DUMMYFUNCTION("""COMPUTED_VALUE"""),"ICHI")</f>
        <v>ICHI</v>
      </c>
      <c r="C8" s="46" t="str">
        <f ca="1">IFERROR(__xludf.DUMMYFUNCTION("""COMPUTED_VALUE"""),"IEEE International Conference on Healthcare Informatics")</f>
        <v>IEEE International Conference on Healthcare Informatics</v>
      </c>
      <c r="D8" s="46">
        <f ca="1">IFERROR(__xludf.DUMMYFUNCTION("""COMPUTED_VALUE"""),16)</f>
        <v>16</v>
      </c>
      <c r="E8" s="60" t="str">
        <f ca="1">IFERROR(__xludf.DUMMYFUNCTION("""COMPUTED_VALUE"""),"https://scholar.google.com/citations?hl=en&amp;view_op=list_hcore&amp;venue=B2gupySN5PsJ.2019")</f>
        <v>https://scholar.google.com/citations?hl=en&amp;view_op=list_hcore&amp;venue=B2gupySN5PsJ.2019</v>
      </c>
    </row>
    <row r="9" spans="1:25" ht="25.5" customHeight="1">
      <c r="A9" s="67" t="str">
        <f ca="1">IFERROR(__xludf.DUMMYFUNCTION("""COMPUTED_VALUE"""),"Top 10")</f>
        <v>Top 10</v>
      </c>
      <c r="B9" s="46" t="str">
        <f ca="1">IFERROR(__xludf.DUMMYFUNCTION("""COMPUTED_VALUE"""),"CBMS")</f>
        <v>CBMS</v>
      </c>
      <c r="C9" s="46" t="str">
        <f ca="1">IFERROR(__xludf.DUMMYFUNCTION("""COMPUTED_VALUE"""),"IEEE Symposium on Computer-Based Medical Systems")</f>
        <v>IEEE Symposium on Computer-Based Medical Systems</v>
      </c>
      <c r="D9" s="46">
        <f ca="1">IFERROR(__xludf.DUMMYFUNCTION("""COMPUTED_VALUE"""),15)</f>
        <v>15</v>
      </c>
      <c r="E9" s="60" t="str">
        <f ca="1">IFERROR(__xludf.DUMMYFUNCTION("""COMPUTED_VALUE"""),"https://scholar.google.com/citations?hl=en&amp;view_op=list_hcore&amp;venue=cFvi1RZjX1gJ.2019")</f>
        <v>https://scholar.google.com/citations?hl=en&amp;view_op=list_hcore&amp;venue=cFvi1RZjX1gJ.2019</v>
      </c>
    </row>
    <row r="10" spans="1:25" ht="25.5" customHeight="1">
      <c r="A10" s="67" t="str">
        <f ca="1">IFERROR(__xludf.DUMMYFUNCTION("""COMPUTED_VALUE"""),"Top 10")</f>
        <v>Top 10</v>
      </c>
      <c r="B10" s="46" t="str">
        <f ca="1">IFERROR(__xludf.DUMMYFUNCTION("""COMPUTED_VALUE"""),"Healthcom")</f>
        <v>Healthcom</v>
      </c>
      <c r="C10" s="46" t="str">
        <f ca="1">IFERROR(__xludf.DUMMYFUNCTION("""COMPUTED_VALUE"""),"IEEE International Conference on e-Health Networking, Applications and Services")</f>
        <v>IEEE International Conference on e-Health Networking, Applications and Services</v>
      </c>
      <c r="D10" s="46">
        <f ca="1">IFERROR(__xludf.DUMMYFUNCTION("""COMPUTED_VALUE"""),16)</f>
        <v>16</v>
      </c>
      <c r="E10" s="60" t="str">
        <f ca="1">IFERROR(__xludf.DUMMYFUNCTION("""COMPUTED_VALUE"""),"https://scholar.google.com/citations?hl=en&amp;view_op=list_hcore&amp;venue=uURokrZhh7IJ.2019")</f>
        <v>https://scholar.google.com/citations?hl=en&amp;view_op=list_hcore&amp;venue=uURokrZhh7IJ.2019</v>
      </c>
    </row>
    <row r="11" spans="1:25" ht="25.5" customHeight="1">
      <c r="A11" s="67" t="str">
        <f ca="1">IFERROR(__xludf.DUMMYFUNCTION("""COMPUTED_VALUE"""),"Top 10")</f>
        <v>Top 10</v>
      </c>
      <c r="B11" s="46" t="str">
        <f ca="1">IFERROR(__xludf.DUMMYFUNCTION("""COMPUTED_VALUE"""),"EMBS")</f>
        <v>EMBS</v>
      </c>
      <c r="C11" s="46" t="str">
        <f ca="1">IFERROR(__xludf.DUMMYFUNCTION("""COMPUTED_VALUE"""),"IEEE-EMBS International Conference on Biomedical and Health Informatics")</f>
        <v>IEEE-EMBS International Conference on Biomedical and Health Informatics</v>
      </c>
      <c r="D11" s="46">
        <f ca="1">IFERROR(__xludf.DUMMYFUNCTION("""COMPUTED_VALUE"""),13)</f>
        <v>13</v>
      </c>
      <c r="E11" s="60" t="str">
        <f ca="1">IFERROR(__xludf.DUMMYFUNCTION("""COMPUTED_VALUE"""),"https://scholar.google.com/citations?hl=en&amp;view_op=list_hcore&amp;venue=BgO65-j_oeEJ.2019")</f>
        <v>https://scholar.google.com/citations?hl=en&amp;view_op=list_hcore&amp;venue=BgO65-j_oeEJ.2019</v>
      </c>
    </row>
    <row r="12" spans="1:25" ht="25.5" customHeight="1">
      <c r="A12" s="70" t="str">
        <f ca="1">IFERROR(__xludf.DUMMYFUNCTION("""COMPUTED_VALUE"""),"Top 20")</f>
        <v>Top 20</v>
      </c>
      <c r="B12" s="46" t="str">
        <f ca="1">IFERROR(__xludf.DUMMYFUNCTION("""COMPUTED_VALUE"""),"ISBI")</f>
        <v>ISBI</v>
      </c>
      <c r="C12" s="46" t="str">
        <f ca="1">IFERROR(__xludf.DUMMYFUNCTION("""COMPUTED_VALUE"""),"IEEE International Symposium on Biomedical Imaging")</f>
        <v>IEEE International Symposium on Biomedical Imaging</v>
      </c>
      <c r="D12" s="46">
        <f ca="1">IFERROR(__xludf.DUMMYFUNCTION("""COMPUTED_VALUE"""),31)</f>
        <v>31</v>
      </c>
      <c r="E12" s="60" t="str">
        <f ca="1">IFERROR(__xludf.DUMMYFUNCTION("""COMPUTED_VALUE"""),"https://scholar.google.com/citations?hl=en&amp;view_op=list_hcore&amp;venue=BvOzx47YdqIJ.2019")</f>
        <v>https://scholar.google.com/citations?hl=en&amp;view_op=list_hcore&amp;venue=BvOzx47YdqIJ.2019</v>
      </c>
    </row>
    <row r="13" spans="1:25" ht="25.5" customHeight="1">
      <c r="A13" s="70" t="str">
        <f ca="1">IFERROR(__xludf.DUMMYFUNCTION("""COMPUTED_VALUE"""),"Top 20")</f>
        <v>Top 20</v>
      </c>
      <c r="B13" s="46" t="str">
        <f ca="1">IFERROR(__xludf.DUMMYFUNCTION("""COMPUTED_VALUE"""),"MIE")</f>
        <v>MIE</v>
      </c>
      <c r="C13" s="46" t="str">
        <f ca="1">IFERROR(__xludf.DUMMYFUNCTION("""COMPUTED_VALUE"""),"Medical Informatics Europe")</f>
        <v>Medical Informatics Europe</v>
      </c>
      <c r="D13" s="46">
        <f ca="1">IFERROR(__xludf.DUMMYFUNCTION("""COMPUTED_VALUE"""),23)</f>
        <v>23</v>
      </c>
      <c r="E13" s="60" t="str">
        <f ca="1">IFERROR(__xludf.DUMMYFUNCTION("""COMPUTED_VALUE"""),"https://scholar.google.com/citations?hl=en&amp;view_op=list_hcore&amp;venue=dZLYXaFx_-EJ.2019")</f>
        <v>https://scholar.google.com/citations?hl=en&amp;view_op=list_hcore&amp;venue=dZLYXaFx_-EJ.2019</v>
      </c>
    </row>
    <row r="14" spans="1:25" ht="25.5" customHeight="1">
      <c r="A14" s="70" t="str">
        <f ca="1">IFERROR(__xludf.DUMMYFUNCTION("""COMPUTED_VALUE"""),"Top 20")</f>
        <v>Top 20</v>
      </c>
      <c r="B14" s="46" t="str">
        <f ca="1">IFERROR(__xludf.DUMMYFUNCTION("""COMPUTED_VALUE"""),"HEALTHINF")</f>
        <v>HEALTHINF</v>
      </c>
      <c r="C14" s="46" t="str">
        <f ca="1">IFERROR(__xludf.DUMMYFUNCTION("""COMPUTED_VALUE"""),"International Conference on Health Informatics")</f>
        <v>International Conference on Health Informatics</v>
      </c>
      <c r="D14" s="46">
        <f ca="1">IFERROR(__xludf.DUMMYFUNCTION("""COMPUTED_VALUE"""),14)</f>
        <v>14</v>
      </c>
      <c r="E14" s="60" t="str">
        <f ca="1">IFERROR(__xludf.DUMMYFUNCTION("""COMPUTED_VALUE"""),"https://scholar.google.com/citations?hl=en&amp;view_op=list_hcore&amp;venue=kQsANTx_InUJ.2019")</f>
        <v>https://scholar.google.com/citations?hl=en&amp;view_op=list_hcore&amp;venue=kQsANTx_InUJ.2019</v>
      </c>
    </row>
    <row r="15" spans="1:25" ht="25.5" customHeight="1">
      <c r="A15" s="70" t="str">
        <f ca="1">IFERROR(__xludf.DUMMYFUNCTION("""COMPUTED_VALUE"""),"Top 20")</f>
        <v>Top 20</v>
      </c>
      <c r="B15" s="46" t="str">
        <f ca="1">IFERROR(__xludf.DUMMYFUNCTION("""COMPUTED_VALUE"""),"AIME")</f>
        <v>AIME</v>
      </c>
      <c r="C15" s="46" t="str">
        <f ca="1">IFERROR(__xludf.DUMMYFUNCTION("""COMPUTED_VALUE"""),"Conference on Artificial Intelligence in Medicine")</f>
        <v>Conference on Artificial Intelligence in Medicine</v>
      </c>
      <c r="D15" s="46"/>
      <c r="E15" s="60"/>
    </row>
    <row r="16" spans="1:25" ht="25.5" customHeight="1">
      <c r="A16" s="70" t="str">
        <f ca="1">IFERROR(__xludf.DUMMYFUNCTION("""COMPUTED_VALUE"""),"Top 20")</f>
        <v>Top 20</v>
      </c>
      <c r="B16" s="46" t="str">
        <f ca="1">IFERROR(__xludf.DUMMYFUNCTION("""COMPUTED_VALUE"""),"ICVR")</f>
        <v>ICVR</v>
      </c>
      <c r="C16" s="46" t="str">
        <f ca="1">IFERROR(__xludf.DUMMYFUNCTION("""COMPUTED_VALUE"""),"International Conference on Virtual Rehabilitation")</f>
        <v>International Conference on Virtual Rehabilitation</v>
      </c>
      <c r="D16" s="46">
        <f ca="1">IFERROR(__xludf.DUMMYFUNCTION("""COMPUTED_VALUE"""),9)</f>
        <v>9</v>
      </c>
      <c r="E16" s="60" t="str">
        <f ca="1">IFERROR(__xludf.DUMMYFUNCTION("""COMPUTED_VALUE"""),"https://scholar.google.com/citations?hl=en&amp;view_op=list_hcore&amp;venue=rw5ieHT7BnMJ.2019")</f>
        <v>https://scholar.google.com/citations?hl=en&amp;view_op=list_hcore&amp;venue=rw5ieHT7BnMJ.2019</v>
      </c>
    </row>
    <row r="17" spans="1:5" ht="25.5" customHeight="1">
      <c r="A17" s="70" t="str">
        <f ca="1">IFERROR(__xludf.DUMMYFUNCTION("""COMPUTED_VALUE"""),"Top 20")</f>
        <v>Top 20</v>
      </c>
      <c r="B17" s="46" t="str">
        <f ca="1">IFERROR(__xludf.DUMMYFUNCTION("""COMPUTED_VALUE"""),"BSN")</f>
        <v>BSN</v>
      </c>
      <c r="C17" s="46" t="str">
        <f ca="1">IFERROR(__xludf.DUMMYFUNCTION("""COMPUTED_VALUE"""),"IEEE-EMBS INTERNATIONAL CONFERENCE ON WEARABLE AND IMPLANTABLE BODY SENSOR NETWORKS")</f>
        <v>IEEE-EMBS INTERNATIONAL CONFERENCE ON WEARABLE AND IMPLANTABLE BODY SENSOR NETWORKS</v>
      </c>
      <c r="D17" s="46">
        <f ca="1">IFERROR(__xludf.DUMMYFUNCTION("""COMPUTED_VALUE"""),17)</f>
        <v>17</v>
      </c>
      <c r="E17" s="60" t="str">
        <f ca="1">IFERROR(__xludf.DUMMYFUNCTION("""COMPUTED_VALUE"""),"https://scholar.google.com/citations?hl=en&amp;view_op=list_hcore&amp;venue=L-flmcutX4sJ.2019")</f>
        <v>https://scholar.google.com/citations?hl=en&amp;view_op=list_hcore&amp;venue=L-flmcutX4sJ.2019</v>
      </c>
    </row>
    <row r="18" spans="1:5" ht="25.5" customHeight="1">
      <c r="A18" s="70" t="str">
        <f ca="1">IFERROR(__xludf.DUMMYFUNCTION("""COMPUTED_VALUE"""),"Top 20")</f>
        <v>Top 20</v>
      </c>
      <c r="B18" s="46" t="str">
        <f ca="1">IFERROR(__xludf.DUMMYFUNCTION("""COMPUTED_VALUE"""),"SBCAS")</f>
        <v>SBCAS</v>
      </c>
      <c r="C18" s="46" t="str">
        <f ca="1">IFERROR(__xludf.DUMMYFUNCTION("""COMPUTED_VALUE"""),"Simpósio Brasileiro de Computação Aplicada à Saúde")</f>
        <v>Simpósio Brasileiro de Computação Aplicada à Saúde</v>
      </c>
      <c r="D18" s="46"/>
      <c r="E18" s="60"/>
    </row>
    <row r="19" spans="1:5" ht="25.5" customHeight="1">
      <c r="A19" s="73" t="str">
        <f ca="1">IFERROR(__xludf.DUMMYFUNCTION("""COMPUTED_VALUE"""),"Eventos da Área")</f>
        <v>Eventos da Área</v>
      </c>
      <c r="B19" s="46" t="str">
        <f ca="1">IFERROR(__xludf.DUMMYFUNCTION("""COMPUTED_VALUE"""),"CMBBE")</f>
        <v>CMBBE</v>
      </c>
      <c r="C19" s="46" t="str">
        <f ca="1">IFERROR(__xludf.DUMMYFUNCTION("""COMPUTED_VALUE"""),"International Symposium on Computer Methods in Biomechanics and Biomedical Engineering")</f>
        <v>International Symposium on Computer Methods in Biomechanics and Biomedical Engineering</v>
      </c>
      <c r="D19" s="46"/>
      <c r="E19" s="60"/>
    </row>
    <row r="20" spans="1:5" ht="25.5" customHeight="1">
      <c r="A20" s="73" t="str">
        <f ca="1">IFERROR(__xludf.DUMMYFUNCTION("""COMPUTED_VALUE"""),"Eventos da Área")</f>
        <v>Eventos da Área</v>
      </c>
      <c r="B20" s="46" t="str">
        <f ca="1">IFERROR(__xludf.DUMMYFUNCTION("""COMPUTED_VALUE"""),"CBIS")</f>
        <v>CBIS</v>
      </c>
      <c r="C20" s="46" t="str">
        <f ca="1">IFERROR(__xludf.DUMMYFUNCTION("""COMPUTED_VALUE"""),"Congresso Brasileiro de Informática em Saúde")</f>
        <v>Congresso Brasileiro de Informática em Saúde</v>
      </c>
      <c r="D20" s="46"/>
      <c r="E20" s="60"/>
    </row>
    <row r="21" spans="1:5" ht="25.5" customHeight="1">
      <c r="A21" s="73" t="str">
        <f ca="1">IFERROR(__xludf.DUMMYFUNCTION("""COMPUTED_VALUE"""),"Eventos da Área")</f>
        <v>Eventos da Área</v>
      </c>
      <c r="B21" s="46" t="str">
        <f ca="1">IFERROR(__xludf.DUMMYFUNCTION("""COMPUTED_VALUE"""),"CBEB")</f>
        <v>CBEB</v>
      </c>
      <c r="C21" s="46" t="str">
        <f ca="1">IFERROR(__xludf.DUMMYFUNCTION("""COMPUTED_VALUE"""),"Congresso Brasileiro de Engenharia Biomédica")</f>
        <v>Congresso Brasileiro de Engenharia Biomédica</v>
      </c>
      <c r="D21" s="46"/>
      <c r="E21" s="60"/>
    </row>
    <row r="22" spans="1:5" ht="25.5" customHeight="1">
      <c r="A22" s="73" t="str">
        <f ca="1">IFERROR(__xludf.DUMMYFUNCTION("""COMPUTED_VALUE"""),"Eventos da Área")</f>
        <v>Eventos da Área</v>
      </c>
      <c r="B22" s="46" t="str">
        <f ca="1">IFERROR(__xludf.DUMMYFUNCTION("""COMPUTED_VALUE"""),"CBTMS")</f>
        <v>CBTMS</v>
      </c>
      <c r="C22" s="46" t="str">
        <f ca="1">IFERROR(__xludf.DUMMYFUNCTION("""COMPUTED_VALUE"""),"Congresso Brasileiro de Telemedicina e Telesaúde")</f>
        <v>Congresso Brasileiro de Telemedicina e Telesaúde</v>
      </c>
      <c r="D22" s="46"/>
      <c r="E22" s="60"/>
    </row>
    <row r="23" spans="1:5" ht="25.5" customHeight="1">
      <c r="A23" s="73" t="str">
        <f ca="1">IFERROR(__xludf.DUMMYFUNCTION("""COMPUTED_VALUE"""),"Eventos da Área")</f>
        <v>Eventos da Área</v>
      </c>
      <c r="B23" s="46" t="str">
        <f ca="1">IFERROR(__xludf.DUMMYFUNCTION("""COMPUTED_VALUE"""),"IPDLN")</f>
        <v>IPDLN</v>
      </c>
      <c r="C23" s="46" t="str">
        <f ca="1">IFERROR(__xludf.DUMMYFUNCTION("""COMPUTED_VALUE"""),"International Population Data Linkage Network")</f>
        <v>International Population Data Linkage Network</v>
      </c>
      <c r="D23" s="46"/>
      <c r="E23" s="60"/>
    </row>
    <row r="25" spans="1:5" ht="15.75" customHeight="1">
      <c r="C25" s="12"/>
    </row>
  </sheetData>
  <hyperlinks>
    <hyperlink ref="E2" r:id="rId1" display="https://scholar.google.com/citations?hl=en&amp;view_op=list_hcore&amp;venue=QLpioUFGyGMJ.2019"/>
    <hyperlink ref="E3" r:id="rId2" display="https://scholar.google.com/citations?hl=en&amp;view_op=list_hcore&amp;venue=bZm_HiepFhUJ.2019"/>
    <hyperlink ref="E4" r:id="rId3" display="https://scholar.google.com/citations?hl=en&amp;view_op=list_hcore&amp;venue=MtqRwGWQK3AJ.2019"/>
    <hyperlink ref="E5" r:id="rId4" display="https://scholar.google.com/citations?hl=en&amp;view_op=list_hcore&amp;venue=dZLYXaFx_-EJ.2019"/>
    <hyperlink ref="E6" r:id="rId5" display="https://scholar.google.com/citations?hl=en&amp;view_op=list_hcore&amp;venue=e4Ty9mKqcmgJ.2019"/>
    <hyperlink ref="E7" r:id="rId6" display="https://scholar.google.com/citations?hl=en&amp;view_op=list_hcore&amp;venue=A0r8tJR7iaEJ.2019"/>
    <hyperlink ref="E8" r:id="rId7" display="https://scholar.google.com/citations?hl=en&amp;view_op=list_hcore&amp;venue=B2gupySN5PsJ.2019"/>
    <hyperlink ref="E9" r:id="rId8" display="https://scholar.google.com/citations?hl=en&amp;view_op=list_hcore&amp;venue=cFvi1RZjX1gJ.2019"/>
    <hyperlink ref="E10" r:id="rId9" display="https://scholar.google.com/citations?hl=en&amp;view_op=list_hcore&amp;venue=uURokrZhh7IJ.2019"/>
    <hyperlink ref="E11" r:id="rId10" display="https://scholar.google.com/citations?hl=en&amp;view_op=list_hcore&amp;venue=BgO65-j_oeEJ.2019"/>
    <hyperlink ref="E12" r:id="rId11" display="https://scholar.google.com/citations?hl=en&amp;view_op=list_hcore&amp;venue=BvOzx47YdqIJ.2019"/>
    <hyperlink ref="E13" r:id="rId12" display="https://scholar.google.com/citations?hl=en&amp;view_op=list_hcore&amp;venue=dZLYXaFx_-EJ.2019"/>
    <hyperlink ref="E14" r:id="rId13" display="https://scholar.google.com/citations?hl=en&amp;view_op=list_hcore&amp;venue=kQsANTx_InUJ.2019"/>
    <hyperlink ref="E16" r:id="rId14" display="https://scholar.google.com/citations?hl=en&amp;view_op=list_hcore&amp;venue=rw5ieHT7BnMJ.2019"/>
    <hyperlink ref="E17" r:id="rId15" display="https://scholar.google.com/citations?hl=en&amp;view_op=list_hcore&amp;venue=L-flmcutX4sJ.2019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customWidth="1"/>
    <col min="2" max="2" width="11" customWidth="1"/>
    <col min="3" max="3" width="81.5703125" customWidth="1"/>
    <col min="4" max="4" width="4.140625" customWidth="1"/>
    <col min="5" max="5" width="169.7109375" style="6" customWidth="1"/>
  </cols>
  <sheetData>
    <row r="1" spans="1:25" ht="25.5" customHeight="1">
      <c r="A1" s="71" t="str">
        <f ca="1">IFERROR(__xludf.DUMMYFUNCTION("importrange(""https://docs.google.com/spreadsheets/d/1F24HX67a0yqmZenLBI_BJEzoIf4UiFlVbwST-WwYxPs/edit#gid=1035563310"",""CE-IE!A1:J150"")"),"TOP")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5.5" customHeight="1">
      <c r="A2" s="67" t="str">
        <f ca="1">IFERROR(__xludf.DUMMYFUNCTION("""COMPUTED_VALUE"""),"Top 10")</f>
        <v>Top 10</v>
      </c>
      <c r="B2" s="46" t="str">
        <f ca="1">IFERROR(__xludf.DUMMYFUNCTION("""COMPUTED_VALUE"""),"AIED")</f>
        <v>AIED</v>
      </c>
      <c r="C2" s="46" t="str">
        <f ca="1">IFERROR(__xludf.DUMMYFUNCTION("""COMPUTED_VALUE"""),"AIED - Intternational Conference on Artificial Intelligence in Education")</f>
        <v>AIED - Intternational Conference on Artificial Intelligence in Education</v>
      </c>
      <c r="D2" s="46">
        <f ca="1">IFERROR(__xludf.DUMMYFUNCTION("""COMPUTED_VALUE"""),24)</f>
        <v>24</v>
      </c>
      <c r="E2" s="46" t="str">
        <f ca="1">IFERROR(__xludf.DUMMYFUNCTION("""COMPUTED_VALUE"""),"https://scholar.google.com.br/citations?hl=pt-BR&amp;view_op=search_venues&amp;vq=artificial+intelligence+in+education&amp;btnG=")</f>
        <v>https://scholar.google.com.br/citations?hl=pt-BR&amp;view_op=search_venues&amp;vq=artificial+intelligence+in+education&amp;btnG=</v>
      </c>
    </row>
    <row r="3" spans="1:25" ht="25.5" customHeight="1">
      <c r="A3" s="67" t="str">
        <f ca="1">IFERROR(__xludf.DUMMYFUNCTION("""COMPUTED_VALUE"""),"Top 10")</f>
        <v>Top 10</v>
      </c>
      <c r="B3" s="46" t="str">
        <f ca="1">IFERROR(__xludf.DUMMYFUNCTION("""COMPUTED_VALUE"""),"ICALT")</f>
        <v>ICALT</v>
      </c>
      <c r="C3" s="46" t="str">
        <f ca="1">IFERROR(__xludf.DUMMYFUNCTION("""COMPUTED_VALUE"""),"ICALT - IEEE International Conference on Advanced Learning Technologies")</f>
        <v>ICALT - IEEE International Conference on Advanced Learning Technologies</v>
      </c>
      <c r="D3" s="46">
        <f ca="1">IFERROR(__xludf.DUMMYFUNCTION("""COMPUTED_VALUE"""),18)</f>
        <v>18</v>
      </c>
      <c r="E3" s="46" t="str">
        <f ca="1">IFERROR(__xludf.DUMMYFUNCTION("""COMPUTED_VALUE"""),"https://scholar.google.com.br/citations?hl=pt-BR&amp;view_op=search_venues&amp;vq=IEEE+International+Conference+on+Advanced+Learning+Technologies&amp;btnG=")</f>
        <v>https://scholar.google.com.br/citations?hl=pt-BR&amp;view_op=search_venues&amp;vq=IEEE+International+Conference+on+Advanced+Learning+Technologies&amp;btnG=</v>
      </c>
    </row>
    <row r="4" spans="1:25" ht="25.5" customHeight="1">
      <c r="A4" s="67" t="str">
        <f ca="1">IFERROR(__xludf.DUMMYFUNCTION("""COMPUTED_VALUE"""),"Top 10")</f>
        <v>Top 10</v>
      </c>
      <c r="B4" s="46" t="str">
        <f ca="1">IFERROR(__xludf.DUMMYFUNCTION("""COMPUTED_VALUE"""),"SBIE")</f>
        <v>SBIE</v>
      </c>
      <c r="C4" s="46" t="str">
        <f ca="1">IFERROR(__xludf.DUMMYFUNCTION("""COMPUTED_VALUE"""),"SBIE - Simpósio Brasileiro de Informática na Educação")</f>
        <v>SBIE - Simpósio Brasileiro de Informática na Educação</v>
      </c>
      <c r="D4" s="46">
        <f ca="1">IFERROR(__xludf.DUMMYFUNCTION("""COMPUTED_VALUE"""),15)</f>
        <v>15</v>
      </c>
      <c r="E4" s="46" t="str">
        <f ca="1">IFERROR(__xludf.DUMMYFUNCTION("""COMPUTED_VALUE"""),"https://scholar.google.com.br/citations?hl=pt-BR&amp;view_op=search_venues&amp;vq=SBIE+-+Simp%C3%B3sio+Brasileiro+de+Inform%C3%A1tica+na+Educa%C3%A7%C3%A3o&amp;btnG=")</f>
        <v>https://scholar.google.com.br/citations?hl=pt-BR&amp;view_op=search_venues&amp;vq=SBIE+-+Simp%C3%B3sio+Brasileiro+de+Inform%C3%A1tica+na+Educa%C3%A7%C3%A3o&amp;btnG=</v>
      </c>
    </row>
    <row r="5" spans="1:25" ht="25.5" customHeight="1">
      <c r="A5" s="67" t="str">
        <f ca="1">IFERROR(__xludf.DUMMYFUNCTION("""COMPUTED_VALUE"""),"Top 10")</f>
        <v>Top 10</v>
      </c>
      <c r="B5" s="46" t="str">
        <f ca="1">IFERROR(__xludf.DUMMYFUNCTION("""COMPUTED_VALUE"""),"IJCAI")</f>
        <v>IJCAI</v>
      </c>
      <c r="C5" s="46" t="str">
        <f ca="1">IFERROR(__xludf.DUMMYFUNCTION("""COMPUTED_VALUE"""),"IJCAI - International Joint Conference on Artificial Intelligence")</f>
        <v>IJCAI - International Joint Conference on Artificial Intelligence</v>
      </c>
      <c r="D5" s="46">
        <f ca="1">IFERROR(__xludf.DUMMYFUNCTION("""COMPUTED_VALUE"""),61)</f>
        <v>61</v>
      </c>
      <c r="E5" s="46" t="str">
        <f ca="1">IFERROR(__xludf.DUMMYFUNCTION("""COMPUTED_VALUE"""),"https://scholar.google.com.br/citations?hl=pt-BR&amp;view_op=search_venues&amp;vq=IJCAI&amp;btnG=")</f>
        <v>https://scholar.google.com.br/citations?hl=pt-BR&amp;view_op=search_venues&amp;vq=IJCAI&amp;btnG=</v>
      </c>
    </row>
    <row r="6" spans="1:25" ht="25.5" customHeight="1">
      <c r="A6" s="67" t="str">
        <f ca="1">IFERROR(__xludf.DUMMYFUNCTION("""COMPUTED_VALUE"""),"Top 10")</f>
        <v>Top 10</v>
      </c>
      <c r="B6" s="46" t="str">
        <f ca="1">IFERROR(__xludf.DUMMYFUNCTION("""COMPUTED_VALUE"""),"ASSETS")</f>
        <v>ASSETS</v>
      </c>
      <c r="C6" s="46" t="str">
        <f ca="1">IFERROR(__xludf.DUMMYFUNCTION("""COMPUTED_VALUE"""),"ASSETS - International ACM SIGACCESS Conference on Computers and Accessibility")</f>
        <v>ASSETS - International ACM SIGACCESS Conference on Computers and Accessibility</v>
      </c>
      <c r="D6" s="46">
        <f ca="1">IFERROR(__xludf.DUMMYFUNCTION("""COMPUTED_VALUE"""),26)</f>
        <v>26</v>
      </c>
      <c r="E6" s="46" t="str">
        <f ca="1">IFERROR(__xludf.DUMMYFUNCTION("""COMPUTED_VALUE"""),"https://scholar.google.com.br/citations?hl=pt-BR&amp;view_op=search_venues&amp;vq=ASSETS&amp;btnG=")</f>
        <v>https://scholar.google.com.br/citations?hl=pt-BR&amp;view_op=search_venues&amp;vq=ASSETS&amp;btnG=</v>
      </c>
    </row>
    <row r="7" spans="1:25" ht="25.5" customHeight="1">
      <c r="A7" s="67" t="str">
        <f ca="1">IFERROR(__xludf.DUMMYFUNCTION("""COMPUTED_VALUE"""),"Top 10")</f>
        <v>Top 10</v>
      </c>
      <c r="B7" s="46" t="str">
        <f ca="1">IFERROR(__xludf.DUMMYFUNCTION("""COMPUTED_VALUE"""),"ITS")</f>
        <v>ITS</v>
      </c>
      <c r="C7" s="46" t="str">
        <f ca="1">IFERROR(__xludf.DUMMYFUNCTION("""COMPUTED_VALUE"""),"ITS - International Conference on Intelligent Tutoring Systems")</f>
        <v>ITS - International Conference on Intelligent Tutoring Systems</v>
      </c>
      <c r="D7" s="46">
        <f ca="1">IFERROR(__xludf.DUMMYFUNCTION("""COMPUTED_VALUE"""),20)</f>
        <v>20</v>
      </c>
      <c r="E7" s="46" t="str">
        <f ca="1">IFERROR(__xludf.DUMMYFUNCTION("""COMPUTED_VALUE"""),"https://scholar.google.com.br/citations?hl=pt-BR&amp;view_op=search_venues&amp;vq=tutoring+systems&amp;btnG=")</f>
        <v>https://scholar.google.com.br/citations?hl=pt-BR&amp;view_op=search_venues&amp;vq=tutoring+systems&amp;btnG=</v>
      </c>
    </row>
    <row r="8" spans="1:25" ht="25.5" customHeight="1">
      <c r="A8" s="67" t="str">
        <f ca="1">IFERROR(__xludf.DUMMYFUNCTION("""COMPUTED_VALUE"""),"Top 10")</f>
        <v>Top 10</v>
      </c>
      <c r="B8" s="46" t="str">
        <f ca="1">IFERROR(__xludf.DUMMYFUNCTION("""COMPUTED_VALUE"""),"EC-TEL")</f>
        <v>EC-TEL</v>
      </c>
      <c r="C8" s="46" t="str">
        <f ca="1">IFERROR(__xludf.DUMMYFUNCTION("""COMPUTED_VALUE"""),"EC-TEL - European Conference on Technology Enhanced Learning")</f>
        <v>EC-TEL - European Conference on Technology Enhanced Learning</v>
      </c>
      <c r="D8" s="46">
        <f ca="1">IFERROR(__xludf.DUMMYFUNCTION("""COMPUTED_VALUE"""),18)</f>
        <v>18</v>
      </c>
      <c r="E8" s="46" t="str">
        <f ca="1">IFERROR(__xludf.DUMMYFUNCTION("""COMPUTED_VALUE"""),"https://scholar.google.com.br/citations?hl=pt-BR&amp;view_op=search_venues&amp;vq=EC-TEL&amp;btnG=")</f>
        <v>https://scholar.google.com.br/citations?hl=pt-BR&amp;view_op=search_venues&amp;vq=EC-TEL&amp;btnG=</v>
      </c>
    </row>
    <row r="9" spans="1:25" ht="25.5" customHeight="1">
      <c r="A9" s="67" t="str">
        <f ca="1">IFERROR(__xludf.DUMMYFUNCTION("""COMPUTED_VALUE"""),"Top 10")</f>
        <v>Top 10</v>
      </c>
      <c r="B9" s="46" t="str">
        <f ca="1">IFERROR(__xludf.DUMMYFUNCTION("""COMPUTED_VALUE"""),"SIGCSE")</f>
        <v>SIGCSE</v>
      </c>
      <c r="C9" s="46" t="str">
        <f ca="1">IFERROR(__xludf.DUMMYFUNCTION("""COMPUTED_VALUE"""),"SIGCSE - ACM Technical Symposium on Computer Science Education")</f>
        <v>SIGCSE - ACM Technical Symposium on Computer Science Education</v>
      </c>
      <c r="D9" s="46">
        <f ca="1">IFERROR(__xludf.DUMMYFUNCTION("""COMPUTED_VALUE"""),32)</f>
        <v>32</v>
      </c>
      <c r="E9" s="46" t="str">
        <f ca="1">IFERROR(__xludf.DUMMYFUNCTION("""COMPUTED_VALUE"""),"https://scholar.google.com.br/citations?hl=pt-BR&amp;view_op=search_venues&amp;vq=Technical+Symposium+on+Computer+Science+Education&amp;btnG=")</f>
        <v>https://scholar.google.com.br/citations?hl=pt-BR&amp;view_op=search_venues&amp;vq=Technical+Symposium+on+Computer+Science+Education&amp;btnG=</v>
      </c>
    </row>
    <row r="10" spans="1:25" ht="25.5" customHeight="1">
      <c r="A10" s="67" t="str">
        <f ca="1">IFERROR(__xludf.DUMMYFUNCTION("""COMPUTED_VALUE"""),"Top 10")</f>
        <v>Top 10</v>
      </c>
      <c r="B10" s="46" t="str">
        <f ca="1">IFERROR(__xludf.DUMMYFUNCTION("""COMPUTED_VALUE"""),"ITiCSE")</f>
        <v>ITiCSE</v>
      </c>
      <c r="C10" s="46" t="str">
        <f ca="1">IFERROR(__xludf.DUMMYFUNCTION("""COMPUTED_VALUE"""),"ITiCSE - Conference on Innovation and Technology in Computer Science Education")</f>
        <v>ITiCSE - Conference on Innovation and Technology in Computer Science Education</v>
      </c>
      <c r="D10" s="46">
        <f ca="1">IFERROR(__xludf.DUMMYFUNCTION("""COMPUTED_VALUE"""),21)</f>
        <v>21</v>
      </c>
      <c r="E10" s="46" t="str">
        <f ca="1">IFERROR(__xludf.DUMMYFUNCTION("""COMPUTED_VALUE"""),"https://scholar.google.com.br/citations?hl=pt-BR&amp;view_op=search_venues&amp;vq=Technical+Symposium+on+Computer+Science+Education&amp;btnG=")</f>
        <v>https://scholar.google.com.br/citations?hl=pt-BR&amp;view_op=search_venues&amp;vq=Technical+Symposium+on+Computer+Science+Education&amp;btnG=</v>
      </c>
    </row>
    <row r="11" spans="1:25" ht="25.5" customHeight="1">
      <c r="A11" s="67" t="str">
        <f ca="1">IFERROR(__xludf.DUMMYFUNCTION("""COMPUTED_VALUE"""),"Top 10")</f>
        <v>Top 10</v>
      </c>
      <c r="B11" s="46" t="str">
        <f ca="1">IFERROR(__xludf.DUMMYFUNCTION("""COMPUTED_VALUE"""),"WIE")</f>
        <v>WIE</v>
      </c>
      <c r="C11" s="46" t="str">
        <f ca="1">IFERROR(__xludf.DUMMYFUNCTION("""COMPUTED_VALUE"""),"WIE - Workshop de Informática na Escola")</f>
        <v>WIE - Workshop de Informática na Escola</v>
      </c>
      <c r="D11" s="46">
        <f ca="1">IFERROR(__xludf.DUMMYFUNCTION("""COMPUTED_VALUE"""),10)</f>
        <v>10</v>
      </c>
      <c r="E11" s="46" t="str">
        <f ca="1">IFERROR(__xludf.DUMMYFUNCTION("""COMPUTED_VALUE"""),"https://scholar.google.com.br/citations?hl=pt-BR&amp;view_op=search_venues&amp;vq=Workshop+de+Inform%C3%A1tica+na+Escola&amp;btnG=")</f>
        <v>https://scholar.google.com.br/citations?hl=pt-BR&amp;view_op=search_venues&amp;vq=Workshop+de+Inform%C3%A1tica+na+Escola&amp;btnG=</v>
      </c>
    </row>
    <row r="12" spans="1:25" ht="25.5" customHeight="1">
      <c r="A12" s="70" t="str">
        <f ca="1">IFERROR(__xludf.DUMMYFUNCTION("""COMPUTED_VALUE"""),"Top 20")</f>
        <v>Top 20</v>
      </c>
      <c r="B12" s="46" t="str">
        <f ca="1">IFERROR(__xludf.DUMMYFUNCTION("""COMPUTED_VALUE"""),"LAK")</f>
        <v>LAK</v>
      </c>
      <c r="C12" s="46" t="str">
        <f ca="1">IFERROR(__xludf.DUMMYFUNCTION("""COMPUTED_VALUE"""),"LAK - International Learning Analytics and Knowledge Conference")</f>
        <v>LAK - International Learning Analytics and Knowledge Conference</v>
      </c>
      <c r="D12" s="46">
        <f ca="1">IFERROR(__xludf.DUMMYFUNCTION("""COMPUTED_VALUE"""),34)</f>
        <v>34</v>
      </c>
      <c r="E12" s="46" t="str">
        <f ca="1">IFERROR(__xludf.DUMMYFUNCTION("""COMPUTED_VALUE"""),"https://scholar.google.com.br/citations?hl=pt-BR&amp;view_op=search_venues&amp;vq=International+Conference+on+Learning+Analytics+and+Knowledge&amp;btnG=")</f>
        <v>https://scholar.google.com.br/citations?hl=pt-BR&amp;view_op=search_venues&amp;vq=International+Conference+on+Learning+Analytics+and+Knowledge&amp;btnG=</v>
      </c>
    </row>
    <row r="13" spans="1:25" ht="25.5" customHeight="1">
      <c r="A13" s="70" t="str">
        <f ca="1">IFERROR(__xludf.DUMMYFUNCTION("""COMPUTED_VALUE"""),"Top 20")</f>
        <v>Top 20</v>
      </c>
      <c r="B13" s="46" t="str">
        <f ca="1">IFERROR(__xludf.DUMMYFUNCTION("""COMPUTED_VALUE"""),"EDM")</f>
        <v>EDM</v>
      </c>
      <c r="C13" s="46" t="str">
        <f ca="1">IFERROR(__xludf.DUMMYFUNCTION("""COMPUTED_VALUE"""),"EDM - International Conference on Educational Data Mining")</f>
        <v>EDM - International Conference on Educational Data Mining</v>
      </c>
      <c r="D13" s="46">
        <f ca="1">IFERROR(__xludf.DUMMYFUNCTION("""COMPUTED_VALUE"""),26)</f>
        <v>26</v>
      </c>
      <c r="E13" s="46" t="str">
        <f ca="1">IFERROR(__xludf.DUMMYFUNCTION("""COMPUTED_VALUE"""),"https://scholar.google.com.br/citations?hl=pt-BR&amp;view_op=search_venues&amp;vq=EDM&amp;btnG=")</f>
        <v>https://scholar.google.com.br/citations?hl=pt-BR&amp;view_op=search_venues&amp;vq=EDM&amp;btnG=</v>
      </c>
    </row>
    <row r="14" spans="1:25" ht="25.5" customHeight="1">
      <c r="A14" s="70" t="str">
        <f ca="1">IFERROR(__xludf.DUMMYFUNCTION("""COMPUTED_VALUE"""),"Top 20")</f>
        <v>Top 20</v>
      </c>
      <c r="B14" s="46" t="str">
        <f ca="1">IFERROR(__xludf.DUMMYFUNCTION("""COMPUTED_VALUE"""),"CSEDU")</f>
        <v>CSEDU</v>
      </c>
      <c r="C14" s="46" t="str">
        <f ca="1">IFERROR(__xludf.DUMMYFUNCTION("""COMPUTED_VALUE"""),"CSEDU - International Conference on Computer Supported Education")</f>
        <v>CSEDU - International Conference on Computer Supported Education</v>
      </c>
      <c r="D14" s="46">
        <f ca="1">IFERROR(__xludf.DUMMYFUNCTION("""COMPUTED_VALUE"""),15)</f>
        <v>15</v>
      </c>
      <c r="E14" s="46" t="str">
        <f ca="1">IFERROR(__xludf.DUMMYFUNCTION("""COMPUTED_VALUE"""),"https://scholar.google.com.br/citations?hl=pt-BR&amp;view_op=search_venues&amp;vq=CSEDU&amp;btnG=")</f>
        <v>https://scholar.google.com.br/citations?hl=pt-BR&amp;view_op=search_venues&amp;vq=CSEDU&amp;btnG=</v>
      </c>
    </row>
    <row r="15" spans="1:25" ht="25.5" customHeight="1">
      <c r="A15" s="70" t="str">
        <f ca="1">IFERROR(__xludf.DUMMYFUNCTION("""COMPUTED_VALUE"""),"Top 20")</f>
        <v>Top 20</v>
      </c>
      <c r="B15" s="46" t="str">
        <f ca="1">IFERROR(__xludf.DUMMYFUNCTION("""COMPUTED_VALUE"""),"FIE")</f>
        <v>FIE</v>
      </c>
      <c r="C15" s="46" t="str">
        <f ca="1">IFERROR(__xludf.DUMMYFUNCTION("""COMPUTED_VALUE"""),"FIE - IEEE Frontiers in Education Conference")</f>
        <v>FIE - IEEE Frontiers in Education Conference</v>
      </c>
      <c r="D15" s="46">
        <f ca="1">IFERROR(__xludf.DUMMYFUNCTION("""COMPUTED_VALUE"""),21)</f>
        <v>21</v>
      </c>
      <c r="E15" s="46" t="str">
        <f ca="1">IFERROR(__xludf.DUMMYFUNCTION("""COMPUTED_VALUE"""),"https://scholar.google.com.br/citations?hl=pt-BR&amp;view_op=search_venues&amp;vq=Frontiers+in+Education+Conference&amp;btnG=")</f>
        <v>https://scholar.google.com.br/citations?hl=pt-BR&amp;view_op=search_venues&amp;vq=Frontiers+in+Education+Conference&amp;btnG=</v>
      </c>
    </row>
    <row r="16" spans="1:25" ht="25.5" customHeight="1">
      <c r="A16" s="70" t="str">
        <f ca="1">IFERROR(__xludf.DUMMYFUNCTION("""COMPUTED_VALUE"""),"Top 20")</f>
        <v>Top 20</v>
      </c>
      <c r="B16" s="46" t="str">
        <f ca="1">IFERROR(__xludf.DUMMYFUNCTION("""COMPUTED_VALUE"""),"CSEE&amp;T")</f>
        <v>CSEE&amp;T</v>
      </c>
      <c r="C16" s="46" t="str">
        <f ca="1">IFERROR(__xludf.DUMMYFUNCTION("""COMPUTED_VALUE"""),"CSEE&amp;T - Conference on Software Engineering Education and Training")</f>
        <v>CSEE&amp;T - Conference on Software Engineering Education and Training</v>
      </c>
      <c r="D16" s="46">
        <f ca="1">IFERROR(__xludf.DUMMYFUNCTION("""COMPUTED_VALUE"""),13)</f>
        <v>13</v>
      </c>
      <c r="E16" s="46" t="str">
        <f ca="1">IFERROR(__xludf.DUMMYFUNCTION("""COMPUTED_VALUE"""),"https://scholar.google.com.br/citations?hl=pt-BR&amp;view_op=search_venues&amp;vq=CSEE%26T+-+Conference+on+Software+Engineering+Education+and+Training&amp;btnG=")</f>
        <v>https://scholar.google.com.br/citations?hl=pt-BR&amp;view_op=search_venues&amp;vq=CSEE%26T+-+Conference+on+Software+Engineering+Education+and+Training&amp;btnG=</v>
      </c>
    </row>
    <row r="17" spans="1:5" ht="25.5" customHeight="1">
      <c r="A17" s="70" t="str">
        <f ca="1">IFERROR(__xludf.DUMMYFUNCTION("""COMPUTED_VALUE"""),"Top 20")</f>
        <v>Top 20</v>
      </c>
      <c r="B17" s="46" t="str">
        <f ca="1">IFERROR(__xludf.DUMMYFUNCTION("""COMPUTED_VALUE"""),"CSCL")</f>
        <v>CSCL</v>
      </c>
      <c r="C17" s="46" t="str">
        <f ca="1">IFERROR(__xludf.DUMMYFUNCTION("""COMPUTED_VALUE"""),"CSCL - International Conference on Computer Supported Collaborative Learning")</f>
        <v>CSCL - International Conference on Computer Supported Collaborative Learning</v>
      </c>
      <c r="D17" s="46">
        <f ca="1">IFERROR(__xludf.DUMMYFUNCTION("""COMPUTED_VALUE"""),12)</f>
        <v>12</v>
      </c>
      <c r="E17" s="46" t="str">
        <f ca="1">IFERROR(__xludf.DUMMYFUNCTION("""COMPUTED_VALUE"""),"https://scholar.google.com.br/citations?hl=pt-BR&amp;view_op=search_venues&amp;vq=+International+Conference+on+Computer+Supported+Collaborative+Learning&amp;btnG=")</f>
        <v>https://scholar.google.com.br/citations?hl=pt-BR&amp;view_op=search_venues&amp;vq=+International+Conference+on+Computer+Supported+Collaborative+Learning&amp;btnG=</v>
      </c>
    </row>
    <row r="18" spans="1:5" ht="25.5" customHeight="1">
      <c r="A18" s="70" t="str">
        <f ca="1">IFERROR(__xludf.DUMMYFUNCTION("""COMPUTED_VALUE"""),"Top 20")</f>
        <v>Top 20</v>
      </c>
      <c r="B18" s="46" t="str">
        <f ca="1">IFERROR(__xludf.DUMMYFUNCTION("""COMPUTED_VALUE"""),"UMAP")</f>
        <v>UMAP</v>
      </c>
      <c r="C18" s="46" t="str">
        <f ca="1">IFERROR(__xludf.DUMMYFUNCTION("""COMPUTED_VALUE"""),"UMAP - International Conference on User Modeling, Adaptation and Personalization")</f>
        <v>UMAP - International Conference on User Modeling, Adaptation and Personalization</v>
      </c>
      <c r="D18" s="46">
        <f ca="1">IFERROR(__xludf.DUMMYFUNCTION("""COMPUTED_VALUE"""),22)</f>
        <v>22</v>
      </c>
      <c r="E18" s="46" t="str">
        <f ca="1">IFERROR(__xludf.DUMMYFUNCTION("""COMPUTED_VALUE"""),"https://scholar.google.com.br/citations?hl=pt-BR&amp;view_op=search_venues&amp;vq=UMAP&amp;btnG=")</f>
        <v>https://scholar.google.com.br/citations?hl=pt-BR&amp;view_op=search_venues&amp;vq=UMAP&amp;btnG=</v>
      </c>
    </row>
    <row r="19" spans="1:5" ht="25.5" customHeight="1">
      <c r="A19" s="70" t="str">
        <f ca="1">IFERROR(__xludf.DUMMYFUNCTION("""COMPUTED_VALUE"""),"Top 20")</f>
        <v>Top 20</v>
      </c>
      <c r="B19" s="46" t="str">
        <f ca="1">IFERROR(__xludf.DUMMYFUNCTION("""COMPUTED_VALUE"""),"ICSLE")</f>
        <v>ICSLE</v>
      </c>
      <c r="C19" s="46" t="str">
        <f ca="1">IFERROR(__xludf.DUMMYFUNCTION("""COMPUTED_VALUE"""),"International Conference on Smart Learning Environments")</f>
        <v>International Conference on Smart Learning Environments</v>
      </c>
      <c r="D19" s="46"/>
      <c r="E19" s="46"/>
    </row>
    <row r="20" spans="1:5" ht="25.5" customHeight="1">
      <c r="A20" s="70" t="str">
        <f ca="1">IFERROR(__xludf.DUMMYFUNCTION("""COMPUTED_VALUE"""),"Top 20")</f>
        <v>Top 20</v>
      </c>
      <c r="B20" s="46" t="str">
        <f ca="1">IFERROR(__xludf.DUMMYFUNCTION("""COMPUTED_VALUE"""),"LACLO")</f>
        <v>LACLO</v>
      </c>
      <c r="C20" s="46" t="str">
        <f ca="1">IFERROR(__xludf.DUMMYFUNCTION("""COMPUTED_VALUE"""),"LACLO - Latin American Conference on Learning Objects and Technologies")</f>
        <v>LACLO - Latin American Conference on Learning Objects and Technologies</v>
      </c>
      <c r="D20" s="46">
        <f ca="1">IFERROR(__xludf.DUMMYFUNCTION("""COMPUTED_VALUE"""),6)</f>
        <v>6</v>
      </c>
      <c r="E20" s="46" t="str">
        <f ca="1">IFERROR(__xludf.DUMMYFUNCTION("""COMPUTED_VALUE"""),"https://scholar.google.com.br/citations?hl=pt-BR&amp;view_op=search_venues&amp;vq=LACLO&amp;btnG=")</f>
        <v>https://scholar.google.com.br/citations?hl=pt-BR&amp;view_op=search_venues&amp;vq=LACLO&amp;btnG=</v>
      </c>
    </row>
    <row r="21" spans="1:5" ht="25.5" customHeight="1">
      <c r="A21" s="70" t="str">
        <f ca="1">IFERROR(__xludf.DUMMYFUNCTION("""COMPUTED_VALUE"""),"Top 20")</f>
        <v>Top 20</v>
      </c>
      <c r="B21" s="46" t="str">
        <f ca="1">IFERROR(__xludf.DUMMYFUNCTION("""COMPUTED_VALUE"""),"ICCE-EDU")</f>
        <v>ICCE-EDU</v>
      </c>
      <c r="C21" s="46" t="str">
        <f ca="1">IFERROR(__xludf.DUMMYFUNCTION("""COMPUTED_VALUE"""),"International Conference on Computers in Education")</f>
        <v>International Conference on Computers in Education</v>
      </c>
      <c r="D21" s="46"/>
      <c r="E21" s="46"/>
    </row>
    <row r="22" spans="1:5" ht="25.5" customHeight="1">
      <c r="A22" s="73" t="str">
        <f ca="1">IFERROR(__xludf.DUMMYFUNCTION("""COMPUTED_VALUE"""),"Eventos da Área")</f>
        <v>Eventos da Área</v>
      </c>
      <c r="B22" s="46" t="str">
        <f ca="1">IFERROR(__xludf.DUMMYFUNCTION("""COMPUTED_VALUE"""),"ISECON")</f>
        <v>ISECON</v>
      </c>
      <c r="C22" s="46" t="str">
        <f ca="1">IFERROR(__xludf.DUMMYFUNCTION("""COMPUTED_VALUE"""),"Information Systems Education Conference")</f>
        <v>Information Systems Education Conference</v>
      </c>
      <c r="D22" s="46"/>
      <c r="E22" s="46"/>
    </row>
    <row r="23" spans="1:5" ht="25.5" customHeight="1">
      <c r="A23" s="73" t="str">
        <f ca="1">IFERROR(__xludf.DUMMYFUNCTION("""COMPUTED_VALUE"""),"Eventos da Área")</f>
        <v>Eventos da Área</v>
      </c>
      <c r="B23" s="46" t="str">
        <f ca="1">IFERROR(__xludf.DUMMYFUNCTION("""COMPUTED_VALUE"""),"CELDA")</f>
        <v>CELDA</v>
      </c>
      <c r="C23" s="46" t="str">
        <f ca="1">IFERROR(__xludf.DUMMYFUNCTION("""COMPUTED_VALUE"""),"Cognition and Exploratory Learning in Digital Age")</f>
        <v>Cognition and Exploratory Learning in Digital Age</v>
      </c>
      <c r="D23" s="46"/>
      <c r="E23" s="46"/>
    </row>
    <row r="24" spans="1:5" ht="25.5" customHeight="1">
      <c r="A24" s="73" t="str">
        <f ca="1">IFERROR(__xludf.DUMMYFUNCTION("""COMPUTED_VALUE"""),"Eventos da Área")</f>
        <v>Eventos da Área</v>
      </c>
      <c r="B24" s="46" t="str">
        <f ca="1">IFERROR(__xludf.DUMMYFUNCTION("""COMPUTED_VALUE"""),"CATE")</f>
        <v>CATE</v>
      </c>
      <c r="C24" s="46" t="str">
        <f ca="1">IFERROR(__xludf.DUMMYFUNCTION("""COMPUTED_VALUE"""),"Computers and Advanced Technology in Education")</f>
        <v>Computers and Advanced Technology in Education</v>
      </c>
      <c r="D24" s="46"/>
      <c r="E24" s="46"/>
    </row>
    <row r="25" spans="1:5" ht="25.5" customHeight="1">
      <c r="A25" s="73" t="str">
        <f ca="1">IFERROR(__xludf.DUMMYFUNCTION("""COMPUTED_VALUE"""),"Eventos da Área")</f>
        <v>Eventos da Área</v>
      </c>
      <c r="B25" s="46" t="str">
        <f ca="1">IFERROR(__xludf.DUMMYFUNCTION("""COMPUTED_VALUE"""),"E-Learning")</f>
        <v>E-Learning</v>
      </c>
      <c r="C25" s="46" t="str">
        <f ca="1">IFERROR(__xludf.DUMMYFUNCTION("""COMPUTED_VALUE"""),"IADIS International Conference on e-Learning")</f>
        <v>IADIS International Conference on e-Learning</v>
      </c>
      <c r="D25" s="46">
        <f ca="1">IFERROR(__xludf.DUMMYFUNCTION("""COMPUTED_VALUE"""),6)</f>
        <v>6</v>
      </c>
      <c r="E25" s="46" t="str">
        <f ca="1">IFERROR(__xludf.DUMMYFUNCTION("""COMPUTED_VALUE"""),"https://scholar.google.com.br/citations?hl=pt-BR&amp;view_op=search_venues&amp;vq=International+Conference+on+e-Learning&amp;btnG=")</f>
        <v>https://scholar.google.com.br/citations?hl=pt-BR&amp;view_op=search_venues&amp;vq=International+Conference+on+e-Learning&amp;btnG=</v>
      </c>
    </row>
    <row r="26" spans="1:5" ht="25.5" customHeight="1">
      <c r="A26" s="73" t="str">
        <f ca="1">IFERROR(__xludf.DUMMYFUNCTION("""COMPUTED_VALUE"""),"Eventos da Área")</f>
        <v>Eventos da Área</v>
      </c>
      <c r="B26" s="46" t="str">
        <f ca="1">IFERROR(__xludf.DUMMYFUNCTION("""COMPUTED_VALUE"""),"WCCE")</f>
        <v>WCCE</v>
      </c>
      <c r="C26" s="46" t="str">
        <f ca="1">IFERROR(__xludf.DUMMYFUNCTION("""COMPUTED_VALUE"""),"IFIP World Conference on Computers in Education")</f>
        <v>IFIP World Conference on Computers in Education</v>
      </c>
      <c r="D26" s="46"/>
      <c r="E26" s="46"/>
    </row>
    <row r="27" spans="1:5" ht="25.5" customHeight="1">
      <c r="A27" s="73" t="str">
        <f ca="1">IFERROR(__xludf.DUMMYFUNCTION("""COMPUTED_VALUE"""),"Eventos da Área")</f>
        <v>Eventos da Área</v>
      </c>
      <c r="B27" s="46" t="str">
        <f ca="1">IFERROR(__xludf.DUMMYFUNCTION("""COMPUTED_VALUE"""),"COMPSAC")</f>
        <v>COMPSAC</v>
      </c>
      <c r="C27" s="46" t="str">
        <f ca="1">IFERROR(__xludf.DUMMYFUNCTION("""COMPUTED_VALUE"""),"COMPSAC - Annual International Computers, Software &amp; Applications Conference")</f>
        <v>COMPSAC - Annual International Computers, Software &amp; Applications Conference</v>
      </c>
      <c r="D27" s="46">
        <f ca="1">IFERROR(__xludf.DUMMYFUNCTION("""COMPUTED_VALUE"""),30)</f>
        <v>30</v>
      </c>
      <c r="E27" s="46" t="str">
        <f ca="1">IFERROR(__xludf.DUMMYFUNCTION("""COMPUTED_VALUE"""),"https://scholar.google.com.br/citations?hl=pt-BR&amp;view_op=search_venues&amp;vq=ACM+Symposium+on+Applied+Computing&amp;btnG=")</f>
        <v>https://scholar.google.com.br/citations?hl=pt-BR&amp;view_op=search_venues&amp;vq=ACM+Symposium+on+Applied+Computing&amp;btnG=</v>
      </c>
    </row>
    <row r="28" spans="1:5" ht="25.5" customHeight="1">
      <c r="A28" s="73" t="str">
        <f ca="1">IFERROR(__xludf.DUMMYFUNCTION("""COMPUTED_VALUE"""),"Eventos da Área")</f>
        <v>Eventos da Área</v>
      </c>
      <c r="B28" s="46" t="str">
        <f ca="1">IFERROR(__xludf.DUMMYFUNCTION("""COMPUTED_VALUE"""),"DESAFIE")</f>
        <v>DESAFIE</v>
      </c>
      <c r="C28" s="46" t="str">
        <f ca="1">IFERROR(__xludf.DUMMYFUNCTION("""COMPUTED_VALUE"""),"DesafIE - Workshop de Desafios da Computação Aplicada à Educação")</f>
        <v>DesafIE - Workshop de Desafios da Computação Aplicada à Educação</v>
      </c>
      <c r="D28" s="46"/>
      <c r="E28" s="46"/>
    </row>
    <row r="30" spans="1:5" ht="15.75" customHeight="1">
      <c r="C30" s="12"/>
    </row>
  </sheetData>
  <hyperlinks>
    <hyperlink ref="E2" r:id="rId1" display="https://scholar.google.com.br/citations?hl=pt-BR&amp;view_op=search_venues&amp;vq=artificial+intelligence+in+education&amp;btnG="/>
    <hyperlink ref="E3" r:id="rId2" display="https://scholar.google.com.br/citations?hl=pt-BR&amp;view_op=search_venues&amp;vq=IEEE+International+Conference+on+Advanced+Learning+Technologies&amp;btnG="/>
    <hyperlink ref="E4" r:id="rId3" display="https://scholar.google.com.br/citations?hl=pt-BR&amp;view_op=search_venues&amp;vq=SBIE+-+Simp%C3%B3sio+Brasileiro+de+Inform%C3%A1tica+na+Educa%C3%A7%C3%A3o&amp;btnG="/>
    <hyperlink ref="E5" r:id="rId4" display="https://scholar.google.com.br/citations?hl=pt-BR&amp;view_op=search_venues&amp;vq=IJCAI&amp;btnG="/>
    <hyperlink ref="E6" r:id="rId5" display="https://scholar.google.com.br/citations?hl=pt-BR&amp;view_op=search_venues&amp;vq=ASSETS&amp;btnG="/>
    <hyperlink ref="E7" r:id="rId6" display="https://scholar.google.com.br/citations?hl=pt-BR&amp;view_op=search_venues&amp;vq=tutoring+systems&amp;btnG="/>
    <hyperlink ref="E8" r:id="rId7" display="https://scholar.google.com.br/citations?hl=pt-BR&amp;view_op=search_venues&amp;vq=EC-TEL&amp;btnG="/>
    <hyperlink ref="E9" r:id="rId8" display="https://scholar.google.com.br/citations?hl=pt-BR&amp;view_op=search_venues&amp;vq=Technical+Symposium+on+Computer+Science+Education&amp;btnG="/>
    <hyperlink ref="E10" r:id="rId9" display="https://scholar.google.com.br/citations?hl=pt-BR&amp;view_op=search_venues&amp;vq=Technical+Symposium+on+Computer+Science+Education&amp;btnG="/>
    <hyperlink ref="E11" r:id="rId10" display="https://scholar.google.com.br/citations?hl=pt-BR&amp;view_op=search_venues&amp;vq=Workshop+de+Inform%C3%A1tica+na+Escola&amp;btnG="/>
    <hyperlink ref="E12" r:id="rId11" display="https://scholar.google.com.br/citations?hl=pt-BR&amp;view_op=search_venues&amp;vq=International+Conference+on+Learning+Analytics+and+Knowledge&amp;btnG="/>
    <hyperlink ref="E13" r:id="rId12" display="https://scholar.google.com.br/citations?hl=pt-BR&amp;view_op=search_venues&amp;vq=EDM&amp;btnG="/>
    <hyperlink ref="E14" r:id="rId13" display="https://scholar.google.com.br/citations?hl=pt-BR&amp;view_op=search_venues&amp;vq=CSEDU&amp;btnG="/>
    <hyperlink ref="E15" r:id="rId14" display="https://scholar.google.com.br/citations?hl=pt-BR&amp;view_op=search_venues&amp;vq=Frontiers+in+Education+Conference&amp;btnG="/>
    <hyperlink ref="E16" r:id="rId15" display="https://scholar.google.com.br/citations?hl=pt-BR&amp;view_op=search_venues&amp;vq=CSEE%26T+-+Conference+on+Software+Engineering+Education+and+Training&amp;btnG="/>
    <hyperlink ref="E17" r:id="rId16" display="https://scholar.google.com.br/citations?hl=pt-BR&amp;view_op=search_venues&amp;vq=+International+Conference+on+Computer+Supported+Collaborative+Learning&amp;btnG="/>
    <hyperlink ref="E18" r:id="rId17" display="https://scholar.google.com.br/citations?hl=pt-BR&amp;view_op=search_venues&amp;vq=UMAP&amp;btnG="/>
    <hyperlink ref="E20" r:id="rId18" display="https://scholar.google.com.br/citations?hl=pt-BR&amp;view_op=search_venues&amp;vq=LACLO&amp;btnG="/>
    <hyperlink ref="E25" r:id="rId19" display="https://scholar.google.com.br/citations?hl=pt-BR&amp;view_op=search_venues&amp;vq=International+Conference+on+e-Learning&amp;btnG="/>
    <hyperlink ref="E27" r:id="rId20" display="https://scholar.google.com.br/citations?hl=pt-BR&amp;view_op=search_venues&amp;vq=ACM+Symposium+on+Applied+Computing&amp;btnG=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8"/>
  <sheetViews>
    <sheetView showGridLines="0" zoomScaleNormal="100" workbookViewId="0">
      <selection activeCell="C34" sqref="C34"/>
    </sheetView>
  </sheetViews>
  <sheetFormatPr defaultColWidth="12.5703125" defaultRowHeight="15.75" customHeight="1"/>
  <cols>
    <col min="1" max="1" width="16.140625" style="42" customWidth="1"/>
    <col min="2" max="2" width="21" style="42" bestFit="1" customWidth="1"/>
    <col min="3" max="3" width="114.7109375" style="99" customWidth="1"/>
    <col min="4" max="4" width="4.140625" style="99" customWidth="1"/>
    <col min="5" max="5" width="154.42578125" style="104" bestFit="1" customWidth="1"/>
    <col min="6" max="10" width="12.5703125" style="99"/>
    <col min="11" max="16384" width="12.5703125" style="42"/>
  </cols>
  <sheetData>
    <row r="1" spans="1:20" ht="25.5" customHeight="1">
      <c r="A1" s="56" t="str">
        <f ca="1">IFERROR(__xludf.DUMMYFUNCTION("importrange(""https://docs.google.com/spreadsheets/d/1O3fg7PNsinYGnNeALjyVcAV4S2p2jZSUqFbIjsUgnpY/edit#gid=770702863"",""CE-SI!A1:J150"")"),"TOP")</f>
        <v>TOP</v>
      </c>
      <c r="B1" s="56" t="str">
        <f ca="1">IFERROR(__xludf.DUMMYFUNCTION("""COMPUTED_VALUE"""),"SIGLA")</f>
        <v>SIGLA</v>
      </c>
      <c r="C1" s="56" t="str">
        <f ca="1">IFERROR(__xludf.DUMMYFUNCTION("""COMPUTED_VALUE"""),"NOME")</f>
        <v>NOME</v>
      </c>
      <c r="D1" s="56" t="str">
        <f ca="1">IFERROR(__xludf.DUMMYFUNCTION("""COMPUTED_VALUE"""),"H5")</f>
        <v>H5</v>
      </c>
      <c r="E1" s="56" t="str">
        <f ca="1">IFERROR(__xludf.DUMMYFUNCTION("""COMPUTED_VALUE"""),"GOOGLE METRICS LINK")</f>
        <v>GOOGLE METRICS LINK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5.5" customHeight="1">
      <c r="A2" s="92" t="str">
        <f ca="1">IFERROR(__xludf.DUMMYFUNCTION("""COMPUTED_VALUE"""),"Top 10")</f>
        <v>Top 10</v>
      </c>
      <c r="B2" s="57" t="str">
        <f ca="1">IFERROR(__xludf.DUMMYFUNCTION("""COMPUTED_VALUE"""),"SBSI")</f>
        <v>SBSI</v>
      </c>
      <c r="C2" s="57" t="str">
        <f ca="1">IFERROR(__xludf.DUMMYFUNCTION("""COMPUTED_VALUE"""),"Simpósio Brasileiro de Sistemas de Informação")</f>
        <v>Simpósio Brasileiro de Sistemas de Informação</v>
      </c>
      <c r="D2" s="45"/>
      <c r="E2" s="57"/>
      <c r="F2" s="42"/>
      <c r="G2" s="42"/>
      <c r="H2" s="42"/>
      <c r="I2" s="42"/>
      <c r="J2" s="42"/>
    </row>
    <row r="3" spans="1:20" ht="25.5" customHeight="1">
      <c r="A3" s="92" t="str">
        <f ca="1">IFERROR(__xludf.DUMMYFUNCTION("""COMPUTED_VALUE"""),"Top 10")</f>
        <v>Top 10</v>
      </c>
      <c r="B3" s="57" t="str">
        <f ca="1">IFERROR(__xludf.DUMMYFUNCTION("""COMPUTED_VALUE"""),"HICSS")</f>
        <v>HICSS</v>
      </c>
      <c r="C3" s="57" t="str">
        <f ca="1">IFERROR(__xludf.DUMMYFUNCTION("""COMPUTED_VALUE"""),"Hawaii International Conference on System Sciences")</f>
        <v>Hawaii International Conference on System Sciences</v>
      </c>
      <c r="D3" s="57">
        <f ca="1">IFERROR(__xludf.DUMMYFUNCTION("""COMPUTED_VALUE"""),42)</f>
        <v>42</v>
      </c>
      <c r="E3" s="57" t="str">
        <f ca="1">IFERROR(__xludf.DUMMYFUNCTION("""COMPUTED_VALUE"""),"https://scholar.google.com.br/citations?hl=pt-BR&amp;view_op=list_hcore&amp;venue=6wBd043QhTIJ.2018")</f>
        <v>https://scholar.google.com.br/citations?hl=pt-BR&amp;view_op=list_hcore&amp;venue=6wBd043QhTIJ.2018</v>
      </c>
      <c r="F3" s="42"/>
      <c r="G3" s="42"/>
      <c r="H3" s="42"/>
      <c r="I3" s="42"/>
      <c r="J3" s="42"/>
    </row>
    <row r="4" spans="1:20" ht="25.5" customHeight="1">
      <c r="A4" s="92" t="str">
        <f ca="1">IFERROR(__xludf.DUMMYFUNCTION("""COMPUTED_VALUE"""),"Top 10")</f>
        <v>Top 10</v>
      </c>
      <c r="B4" s="57" t="str">
        <f ca="1">IFERROR(__xludf.DUMMYFUNCTION("""COMPUTED_VALUE"""),"ECIS")</f>
        <v>ECIS</v>
      </c>
      <c r="C4" s="57" t="str">
        <f ca="1">IFERROR(__xludf.DUMMYFUNCTION("""COMPUTED_VALUE"""),"European Conference on Information Systems")</f>
        <v>European Conference on Information Systems</v>
      </c>
      <c r="D4" s="57">
        <f ca="1">IFERROR(__xludf.DUMMYFUNCTION("""COMPUTED_VALUE"""),30)</f>
        <v>30</v>
      </c>
      <c r="E4" s="57" t="str">
        <f ca="1">IFERROR(__xludf.DUMMYFUNCTION("""COMPUTED_VALUE"""),"https://scholar.google.com.br/citations?hl=pt-BR&amp;view_op=list_hcore&amp;venue=dF8xpB0_PnwJ.2018")</f>
        <v>https://scholar.google.com.br/citations?hl=pt-BR&amp;view_op=list_hcore&amp;venue=dF8xpB0_PnwJ.2018</v>
      </c>
      <c r="F4" s="42"/>
      <c r="G4" s="42"/>
      <c r="H4" s="42"/>
      <c r="I4" s="42"/>
      <c r="J4" s="42"/>
    </row>
    <row r="5" spans="1:20" ht="25.5" customHeight="1">
      <c r="A5" s="92" t="str">
        <f ca="1">IFERROR(__xludf.DUMMYFUNCTION("""COMPUTED_VALUE"""),"Top 10")</f>
        <v>Top 10</v>
      </c>
      <c r="B5" s="57" t="str">
        <f ca="1">IFERROR(__xludf.DUMMYFUNCTION("""COMPUTED_VALUE"""),"PACIS")</f>
        <v>PACIS</v>
      </c>
      <c r="C5" s="57" t="str">
        <f ca="1">IFERROR(__xludf.DUMMYFUNCTION("""COMPUTED_VALUE"""),"Pacific Asia Conference on Information Systems")</f>
        <v>Pacific Asia Conference on Information Systems</v>
      </c>
      <c r="D5" s="57">
        <f ca="1">IFERROR(__xludf.DUMMYFUNCTION("""COMPUTED_VALUE"""),18)</f>
        <v>18</v>
      </c>
      <c r="E5" s="57" t="str">
        <f ca="1">IFERROR(__xludf.DUMMYFUNCTION("""COMPUTED_VALUE"""),"https://scholar.google.com.br/citations?hl=pt-BR&amp;view_op=list_hcore&amp;venue=CY_aqjanJeoJ.2018")</f>
        <v>https://scholar.google.com.br/citations?hl=pt-BR&amp;view_op=list_hcore&amp;venue=CY_aqjanJeoJ.2018</v>
      </c>
      <c r="F5" s="42"/>
      <c r="G5" s="42"/>
      <c r="H5" s="42"/>
      <c r="I5" s="42"/>
      <c r="J5" s="42"/>
    </row>
    <row r="6" spans="1:20" ht="25.5" customHeight="1">
      <c r="A6" s="92" t="str">
        <f ca="1">IFERROR(__xludf.DUMMYFUNCTION("""COMPUTED_VALUE"""),"Top 10")</f>
        <v>Top 10</v>
      </c>
      <c r="B6" s="57" t="str">
        <f ca="1">IFERROR(__xludf.DUMMYFUNCTION("""COMPUTED_VALUE"""),"ICIS")</f>
        <v>ICIS</v>
      </c>
      <c r="C6" s="57" t="str">
        <f ca="1">IFERROR(__xludf.DUMMYFUNCTION("""COMPUTED_VALUE"""),"International Conference on Information Systems")</f>
        <v>International Conference on Information Systems</v>
      </c>
      <c r="D6" s="57">
        <f ca="1">IFERROR(__xludf.DUMMYFUNCTION("""COMPUTED_VALUE"""),25)</f>
        <v>25</v>
      </c>
      <c r="E6" s="57" t="str">
        <f ca="1">IFERROR(__xludf.DUMMYFUNCTION("""COMPUTED_VALUE"""),"https://scholar.google.com.br/citations?hl=pt-BR&amp;view_op=list_hcore&amp;venue=hL4tvEz50McJ.2018")</f>
        <v>https://scholar.google.com.br/citations?hl=pt-BR&amp;view_op=list_hcore&amp;venue=hL4tvEz50McJ.2018</v>
      </c>
      <c r="F6" s="42"/>
      <c r="G6" s="42"/>
      <c r="H6" s="42"/>
      <c r="I6" s="42"/>
      <c r="J6" s="42"/>
    </row>
    <row r="7" spans="1:20" ht="25.5" customHeight="1">
      <c r="A7" s="92" t="str">
        <f ca="1">IFERROR(__xludf.DUMMYFUNCTION("""COMPUTED_VALUE"""),"Top 10")</f>
        <v>Top 10</v>
      </c>
      <c r="B7" s="57" t="str">
        <f ca="1">IFERROR(__xludf.DUMMYFUNCTION("""COMPUTED_VALUE"""),"AMCIS")</f>
        <v>AMCIS</v>
      </c>
      <c r="C7" s="57" t="str">
        <f ca="1">IFERROR(__xludf.DUMMYFUNCTION("""COMPUTED_VALUE"""),"Americas Conference on Information Systems")</f>
        <v>Americas Conference on Information Systems</v>
      </c>
      <c r="D7" s="57">
        <f ca="1">IFERROR(__xludf.DUMMYFUNCTION("""COMPUTED_VALUE"""),23)</f>
        <v>23</v>
      </c>
      <c r="E7" s="57" t="str">
        <f ca="1">IFERROR(__xludf.DUMMYFUNCTION("""COMPUTED_VALUE"""),"https://scholar.google.com.br/citations?hl=pt-BR&amp;view_op=list_hcore&amp;venue=Z7jeczV8wooJ.2018")</f>
        <v>https://scholar.google.com.br/citations?hl=pt-BR&amp;view_op=list_hcore&amp;venue=Z7jeczV8wooJ.2018</v>
      </c>
      <c r="F7" s="42"/>
      <c r="G7" s="42"/>
      <c r="H7" s="42"/>
      <c r="I7" s="42"/>
      <c r="J7" s="42"/>
    </row>
    <row r="8" spans="1:20" ht="25.5" customHeight="1">
      <c r="A8" s="92" t="str">
        <f ca="1">IFERROR(__xludf.DUMMYFUNCTION("""COMPUTED_VALUE"""),"Top 10")</f>
        <v>Top 10</v>
      </c>
      <c r="B8" s="57" t="str">
        <f ca="1">IFERROR(__xludf.DUMMYFUNCTION("""COMPUTED_VALUE"""),"CAISE")</f>
        <v>CAISE</v>
      </c>
      <c r="C8" s="57" t="str">
        <f ca="1">IFERROR(__xludf.DUMMYFUNCTION("""COMPUTED_VALUE"""),"International Conference on Advanced Information Systems Engineering")</f>
        <v>International Conference on Advanced Information Systems Engineering</v>
      </c>
      <c r="D8" s="57">
        <f ca="1">IFERROR(__xludf.DUMMYFUNCTION("""COMPUTED_VALUE"""),23)</f>
        <v>23</v>
      </c>
      <c r="E8" s="57" t="str">
        <f ca="1">IFERROR(__xludf.DUMMYFUNCTION("""COMPUTED_VALUE"""),"https://scholar.google.com.br/citations?hl=pt-BR&amp;view_op=list_hcore&amp;venue=5PSS5xHm_KwJ.2018")</f>
        <v>https://scholar.google.com.br/citations?hl=pt-BR&amp;view_op=list_hcore&amp;venue=5PSS5xHm_KwJ.2018</v>
      </c>
      <c r="F8" s="42"/>
      <c r="G8" s="42"/>
      <c r="H8" s="42"/>
      <c r="I8" s="42"/>
      <c r="J8" s="42"/>
    </row>
    <row r="9" spans="1:20" ht="25.5" customHeight="1">
      <c r="A9" s="92" t="str">
        <f ca="1">IFERROR(__xludf.DUMMYFUNCTION("""COMPUTED_VALUE"""),"Top 10")</f>
        <v>Top 10</v>
      </c>
      <c r="B9" s="57" t="str">
        <f ca="1">IFERROR(__xludf.DUMMYFUNCTION("""COMPUTED_VALUE"""),"ICEIS")</f>
        <v>ICEIS</v>
      </c>
      <c r="C9" s="57" t="str">
        <f ca="1">IFERROR(__xludf.DUMMYFUNCTION("""COMPUTED_VALUE"""),"International Conference on Enterprise Information Systems")</f>
        <v>International Conference on Enterprise Information Systems</v>
      </c>
      <c r="D9" s="57">
        <f ca="1">IFERROR(__xludf.DUMMYFUNCTION("""COMPUTED_VALUE"""),14)</f>
        <v>14</v>
      </c>
      <c r="E9" s="57" t="str">
        <f ca="1">IFERROR(__xludf.DUMMYFUNCTION("""COMPUTED_VALUE"""),"https://scholar.google.com.br/citations?hl=pt-BR&amp;view_op=list_hcore&amp;venue=zsGWp1QJr3AJ.2018")</f>
        <v>https://scholar.google.com.br/citations?hl=pt-BR&amp;view_op=list_hcore&amp;venue=zsGWp1QJr3AJ.2018</v>
      </c>
      <c r="F9" s="42"/>
      <c r="G9" s="42"/>
      <c r="H9" s="42"/>
      <c r="I9" s="42"/>
      <c r="J9" s="42"/>
    </row>
    <row r="10" spans="1:20" ht="25.5" customHeight="1">
      <c r="A10" s="92" t="str">
        <f ca="1">IFERROR(__xludf.DUMMYFUNCTION("""COMPUTED_VALUE"""),"Top 10")</f>
        <v>Top 10</v>
      </c>
      <c r="B10" s="57" t="str">
        <f ca="1">IFERROR(__xludf.DUMMYFUNCTION("""COMPUTED_VALUE"""),"FEDCSIS")</f>
        <v>FEDCSIS</v>
      </c>
      <c r="C10" s="57" t="str">
        <f ca="1">IFERROR(__xludf.DUMMYFUNCTION("""COMPUTED_VALUE"""),"Federated Conference on Computer Science and Information Systems")</f>
        <v>Federated Conference on Computer Science and Information Systems</v>
      </c>
      <c r="D10" s="57">
        <f ca="1">IFERROR(__xludf.DUMMYFUNCTION("""COMPUTED_VALUE"""),24)</f>
        <v>24</v>
      </c>
      <c r="E10" s="57" t="str">
        <f ca="1">IFERROR(__xludf.DUMMYFUNCTION("""COMPUTED_VALUE"""),"https://scholar.google.com.br/citations?hl=pt-BR&amp;view_op=list_hcore&amp;venue=PHUeOJr2y-EJ.2018")</f>
        <v>https://scholar.google.com.br/citations?hl=pt-BR&amp;view_op=list_hcore&amp;venue=PHUeOJr2y-EJ.2018</v>
      </c>
      <c r="F10" s="42"/>
      <c r="G10" s="42"/>
      <c r="H10" s="42"/>
      <c r="I10" s="42"/>
      <c r="J10" s="42"/>
    </row>
    <row r="11" spans="1:20" ht="25.5" customHeight="1">
      <c r="A11" s="92" t="str">
        <f ca="1">IFERROR(__xludf.DUMMYFUNCTION("""COMPUTED_VALUE"""),"Top 10")</f>
        <v>Top 10</v>
      </c>
      <c r="B11" s="57" t="str">
        <f ca="1">IFERROR(__xludf.DUMMYFUNCTION("""COMPUTED_VALUE"""),"SMC")</f>
        <v>SMC</v>
      </c>
      <c r="C11" s="57" t="str">
        <f ca="1">IFERROR(__xludf.DUMMYFUNCTION("""COMPUTED_VALUE"""),"IEEE International Conference on Systems, Man and Cybernetics")</f>
        <v>IEEE International Conference on Systems, Man and Cybernetics</v>
      </c>
      <c r="D11" s="57">
        <f ca="1">IFERROR(__xludf.DUMMYFUNCTION("""COMPUTED_VALUE"""),23)</f>
        <v>23</v>
      </c>
      <c r="E11" s="57" t="str">
        <f ca="1">IFERROR(__xludf.DUMMYFUNCTION("""COMPUTED_VALUE"""),"https://scholar.google.com.br/citations?hl=pt-BR&amp;view_op=search_venues&amp;vq=IEEE+International+Conference+on+Systems%2C+Man+and+Cybernetics&amp;btnG=")</f>
        <v>https://scholar.google.com.br/citations?hl=pt-BR&amp;view_op=search_venues&amp;vq=IEEE+International+Conference+on+Systems%2C+Man+and+Cybernetics&amp;btnG=</v>
      </c>
      <c r="F11" s="42"/>
      <c r="G11" s="42"/>
      <c r="H11" s="42"/>
      <c r="I11" s="42"/>
      <c r="J11" s="42"/>
    </row>
    <row r="12" spans="1:20" ht="25.5" customHeight="1">
      <c r="A12" s="93" t="str">
        <f ca="1">IFERROR(__xludf.DUMMYFUNCTION("""COMPUTED_VALUE"""),"Top 20")</f>
        <v>Top 20</v>
      </c>
      <c r="B12" s="57" t="str">
        <f ca="1">IFERROR(__xludf.DUMMYFUNCTION("""COMPUTED_VALUE"""),"SAC")</f>
        <v>SAC</v>
      </c>
      <c r="C12" s="57" t="str">
        <f ca="1">IFERROR(__xludf.DUMMYFUNCTION("""COMPUTED_VALUE"""),"ACM Symposium on Applied Computing")</f>
        <v>ACM Symposium on Applied Computing</v>
      </c>
      <c r="D12" s="57">
        <f ca="1">IFERROR(__xludf.DUMMYFUNCTION("""COMPUTED_VALUE"""),30)</f>
        <v>30</v>
      </c>
      <c r="E12" s="57" t="str">
        <f ca="1">IFERROR(__xludf.DUMMYFUNCTION("""COMPUTED_VALUE"""),"https://scholar.google.com.br/citations?hl=pt-BR&amp;view_op=list_hcore&amp;venue=eLhWa3qzEDsJ.2018")</f>
        <v>https://scholar.google.com.br/citations?hl=pt-BR&amp;view_op=list_hcore&amp;venue=eLhWa3qzEDsJ.2018</v>
      </c>
      <c r="F12" s="42"/>
      <c r="G12" s="42"/>
      <c r="H12" s="42"/>
      <c r="I12" s="42"/>
      <c r="J12" s="42"/>
    </row>
    <row r="13" spans="1:20" ht="25.5" customHeight="1">
      <c r="A13" s="93" t="str">
        <f ca="1">IFERROR(__xludf.DUMMYFUNCTION("""COMPUTED_VALUE"""),"Top 20")</f>
        <v>Top 20</v>
      </c>
      <c r="B13" s="57" t="str">
        <f ca="1">IFERROR(__xludf.DUMMYFUNCTION("""COMPUTED_VALUE"""),"WISE")</f>
        <v>WISE</v>
      </c>
      <c r="C13" s="57" t="str">
        <f ca="1">IFERROR(__xludf.DUMMYFUNCTION("""COMPUTED_VALUE"""),"International Conference on Web Information Systems Engineering")</f>
        <v>International Conference on Web Information Systems Engineering</v>
      </c>
      <c r="D13" s="57">
        <f ca="1">IFERROR(__xludf.DUMMYFUNCTION("""COMPUTED_VALUE"""),16)</f>
        <v>16</v>
      </c>
      <c r="E13" s="57" t="str">
        <f ca="1">IFERROR(__xludf.DUMMYFUNCTION("""COMPUTED_VALUE"""),"https://scholar.google.com.br/citations?hl=pt-BR&amp;view_op=list_hcore&amp;venue=K9DmX5xQU-YJ.2018")</f>
        <v>https://scholar.google.com.br/citations?hl=pt-BR&amp;view_op=list_hcore&amp;venue=K9DmX5xQU-YJ.2018</v>
      </c>
      <c r="F13" s="42"/>
      <c r="G13" s="42"/>
      <c r="H13" s="42"/>
      <c r="I13" s="42"/>
      <c r="J13" s="42"/>
    </row>
    <row r="14" spans="1:20" ht="25.5" customHeight="1">
      <c r="A14" s="93" t="str">
        <f ca="1">IFERROR(__xludf.DUMMYFUNCTION("""COMPUTED_VALUE"""),"Top 20")</f>
        <v>Top 20</v>
      </c>
      <c r="B14" s="57" t="str">
        <f ca="1">IFERROR(__xludf.DUMMYFUNCTION("""COMPUTED_VALUE"""),"SoSE")</f>
        <v>SoSE</v>
      </c>
      <c r="C14" s="57" t="str">
        <f ca="1">IFERROR(__xludf.DUMMYFUNCTION("""COMPUTED_VALUE"""),"IEEE Conference on Systems of Systems Engineering")</f>
        <v>IEEE Conference on Systems of Systems Engineering</v>
      </c>
      <c r="D14" s="57">
        <f ca="1">IFERROR(__xludf.DUMMYFUNCTION("""COMPUTED_VALUE"""),14)</f>
        <v>14</v>
      </c>
      <c r="E14" s="57" t="str">
        <f ca="1">IFERROR(__xludf.DUMMYFUNCTION("""COMPUTED_VALUE"""),"https://scholar.google.com.br/citations?hl=pt-BR&amp;view_op=list_hcore&amp;venue=TThVqfDwD3QJ.2018")</f>
        <v>https://scholar.google.com.br/citations?hl=pt-BR&amp;view_op=list_hcore&amp;venue=TThVqfDwD3QJ.2018</v>
      </c>
      <c r="F14" s="42"/>
      <c r="G14" s="42"/>
      <c r="H14" s="42"/>
      <c r="I14" s="42"/>
      <c r="J14" s="42"/>
    </row>
    <row r="15" spans="1:20" ht="25.5" customHeight="1">
      <c r="A15" s="93" t="str">
        <f ca="1">IFERROR(__xludf.DUMMYFUNCTION("""COMPUTED_VALUE"""),"Top 20")</f>
        <v>Top 20</v>
      </c>
      <c r="B15" s="57" t="str">
        <f ca="1">IFERROR(__xludf.DUMMYFUNCTION("""COMPUTED_VALUE"""),"WEBIST")</f>
        <v>WEBIST</v>
      </c>
      <c r="C15" s="57" t="str">
        <f ca="1">IFERROR(__xludf.DUMMYFUNCTION("""COMPUTED_VALUE"""),"International Conference on Web Information Systems and Technologies")</f>
        <v>International Conference on Web Information Systems and Technologies</v>
      </c>
      <c r="D15" s="57">
        <f ca="1">IFERROR(__xludf.DUMMYFUNCTION("""COMPUTED_VALUE"""),13)</f>
        <v>13</v>
      </c>
      <c r="E15" s="57" t="str">
        <f ca="1">IFERROR(__xludf.DUMMYFUNCTION("""COMPUTED_VALUE"""),"https://scholar.google.com.br/citations?hl=pt-BR&amp;view_op=list_hcore&amp;venue=0oQi0-PzQ8sJ.2018")</f>
        <v>https://scholar.google.com.br/citations?hl=pt-BR&amp;view_op=list_hcore&amp;venue=0oQi0-PzQ8sJ.2018</v>
      </c>
      <c r="F15" s="42"/>
      <c r="G15" s="42"/>
      <c r="H15" s="42"/>
      <c r="I15" s="42"/>
      <c r="J15" s="42"/>
    </row>
    <row r="16" spans="1:20" ht="25.5" customHeight="1">
      <c r="A16" s="93" t="str">
        <f ca="1">IFERROR(__xludf.DUMMYFUNCTION("""COMPUTED_VALUE"""),"Top 20")</f>
        <v>Top 20</v>
      </c>
      <c r="B16" s="57" t="str">
        <f ca="1">IFERROR(__xludf.DUMMYFUNCTION("""COMPUTED_VALUE"""),"CoopIS")</f>
        <v>CoopIS</v>
      </c>
      <c r="C16" s="57" t="str">
        <f ca="1">IFERROR(__xludf.DUMMYFUNCTION("""COMPUTED_VALUE"""),"International Conference on Cooperative Information Systems")</f>
        <v>International Conference on Cooperative Information Systems</v>
      </c>
      <c r="D16" s="45"/>
      <c r="E16" s="57"/>
      <c r="F16" s="42"/>
      <c r="G16" s="42"/>
      <c r="H16" s="42"/>
      <c r="I16" s="42"/>
      <c r="J16" s="42"/>
    </row>
    <row r="17" spans="1:10" ht="25.5" customHeight="1">
      <c r="A17" s="93" t="str">
        <f ca="1">IFERROR(__xludf.DUMMYFUNCTION("""COMPUTED_VALUE"""),"Top 20")</f>
        <v>Top 20</v>
      </c>
      <c r="B17" s="57" t="str">
        <f ca="1">IFERROR(__xludf.DUMMYFUNCTION("""COMPUTED_VALUE"""),"CENTERIS")</f>
        <v>CENTERIS</v>
      </c>
      <c r="C17" s="57" t="str">
        <f ca="1">IFERROR(__xludf.DUMMYFUNCTION("""COMPUTED_VALUE"""),"Conference on ENTERprise Information Systems")</f>
        <v>Conference on ENTERprise Information Systems</v>
      </c>
      <c r="D17" s="45"/>
      <c r="E17" s="57"/>
      <c r="F17" s="42"/>
      <c r="G17" s="42"/>
      <c r="H17" s="42"/>
      <c r="I17" s="42"/>
      <c r="J17" s="42"/>
    </row>
    <row r="18" spans="1:10" ht="25.5" customHeight="1">
      <c r="A18" s="93" t="str">
        <f ca="1">IFERROR(__xludf.DUMMYFUNCTION("""COMPUTED_VALUE"""),"Top 20")</f>
        <v>Top 20</v>
      </c>
      <c r="B18" s="57" t="str">
        <f ca="1">IFERROR(__xludf.DUMMYFUNCTION("""COMPUTED_VALUE"""),"ENANPAD")</f>
        <v>ENANPAD</v>
      </c>
      <c r="C18" s="57" t="str">
        <f ca="1">IFERROR(__xludf.DUMMYFUNCTION("""COMPUTED_VALUE"""),"Encontro Nacional da Associação Nacional de Pós-Graduação e Pesquisa em Administração")</f>
        <v>Encontro Nacional da Associação Nacional de Pós-Graduação e Pesquisa em Administração</v>
      </c>
      <c r="D18" s="45"/>
      <c r="E18" s="57"/>
      <c r="F18" s="42"/>
      <c r="G18" s="42"/>
      <c r="H18" s="42"/>
      <c r="I18" s="42"/>
      <c r="J18" s="42"/>
    </row>
    <row r="19" spans="1:10" ht="25.5" customHeight="1">
      <c r="A19" s="93" t="str">
        <f ca="1">IFERROR(__xludf.DUMMYFUNCTION("""COMPUTED_VALUE"""),"Top 20")</f>
        <v>Top 20</v>
      </c>
      <c r="B19" s="57" t="str">
        <f ca="1">IFERROR(__xludf.DUMMYFUNCTION("""COMPUTED_VALUE"""),"CONTECSI")</f>
        <v>CONTECSI</v>
      </c>
      <c r="C19" s="57" t="str">
        <f ca="1">IFERROR(__xludf.DUMMYFUNCTION("""COMPUTED_VALUE"""),"International Conference on Information Systems and Technology Management")</f>
        <v>International Conference on Information Systems and Technology Management</v>
      </c>
      <c r="D19" s="57">
        <f ca="1">IFERROR(__xludf.DUMMYFUNCTION("""COMPUTED_VALUE"""),2)</f>
        <v>2</v>
      </c>
      <c r="E19" s="57" t="str">
        <f ca="1">IFERROR(__xludf.DUMMYFUNCTION("""COMPUTED_VALUE"""),"https://scholar.google.com.br/citations?hl=pt-BR&amp;view_op=list_hcore&amp;venue=K48f4XYSH_MJ.2018")</f>
        <v>https://scholar.google.com.br/citations?hl=pt-BR&amp;view_op=list_hcore&amp;venue=K48f4XYSH_MJ.2018</v>
      </c>
      <c r="F19" s="42"/>
      <c r="G19" s="42"/>
      <c r="H19" s="42"/>
      <c r="I19" s="42"/>
      <c r="J19" s="42"/>
    </row>
    <row r="20" spans="1:10" ht="25.5" customHeight="1">
      <c r="A20" s="93" t="str">
        <f ca="1">IFERROR(__xludf.DUMMYFUNCTION("""COMPUTED_VALUE"""),"Top 20")</f>
        <v>Top 20</v>
      </c>
      <c r="B20" s="57" t="str">
        <f ca="1">IFERROR(__xludf.DUMMYFUNCTION("""COMPUTED_VALUE"""),"CONFIRM")</f>
        <v>CONFIRM</v>
      </c>
      <c r="C20" s="57" t="str">
        <f ca="1">IFERROR(__xludf.DUMMYFUNCTION("""COMPUTED_VALUE"""),"International Conference on Information Resources Management")</f>
        <v>International Conference on Information Resources Management</v>
      </c>
      <c r="D20" s="57"/>
      <c r="E20" s="57"/>
      <c r="F20" s="42"/>
      <c r="G20" s="42"/>
      <c r="H20" s="42"/>
      <c r="I20" s="42"/>
      <c r="J20" s="42"/>
    </row>
    <row r="21" spans="1:10" ht="25.5" customHeight="1">
      <c r="A21" s="93" t="str">
        <f ca="1">IFERROR(__xludf.DUMMYFUNCTION("""COMPUTED_VALUE"""),"Top 20")</f>
        <v>Top 20</v>
      </c>
      <c r="B21" s="57" t="str">
        <f ca="1">IFERROR(__xludf.DUMMYFUNCTION("""COMPUTED_VALUE"""),"ISD")</f>
        <v>ISD</v>
      </c>
      <c r="C21" s="57" t="str">
        <f ca="1">IFERROR(__xludf.DUMMYFUNCTION("""COMPUTED_VALUE"""),"International Conference on Information Systems Development")</f>
        <v>International Conference on Information Systems Development</v>
      </c>
      <c r="D21" s="57">
        <f ca="1">IFERROR(__xludf.DUMMYFUNCTION("""COMPUTED_VALUE"""),8)</f>
        <v>8</v>
      </c>
      <c r="E21" s="57" t="str">
        <f ca="1">IFERROR(__xludf.DUMMYFUNCTION("""COMPUTED_VALUE"""),"https://scholar.google.com.br/citations?hl=pt-BR&amp;view_op=list_hcore&amp;venue=IXwBVJe3Y30J.2019")</f>
        <v>https://scholar.google.com.br/citations?hl=pt-BR&amp;view_op=list_hcore&amp;venue=IXwBVJe3Y30J.2019</v>
      </c>
      <c r="F21" s="42"/>
      <c r="G21" s="42"/>
      <c r="H21" s="42"/>
      <c r="I21" s="42"/>
      <c r="J21" s="42"/>
    </row>
    <row r="22" spans="1:10" ht="25.5" customHeight="1">
      <c r="A22" s="94" t="str">
        <f ca="1">IFERROR(__xludf.DUMMYFUNCTION("""COMPUTED_VALUE"""),"Eventos da Área")</f>
        <v>Eventos da Área</v>
      </c>
      <c r="B22" s="57" t="str">
        <f ca="1">IFERROR(__xludf.DUMMYFUNCTION("""COMPUTED_VALUE"""),"CSCW")</f>
        <v>CSCW</v>
      </c>
      <c r="C22" s="57" t="str">
        <f ca="1">IFERROR(__xludf.DUMMYFUNCTION("""COMPUTED_VALUE"""),"ACM Conference on Computer Supported Cooperative Work &amp; Social Computing")</f>
        <v>ACM Conference on Computer Supported Cooperative Work &amp; Social Computing</v>
      </c>
      <c r="D22" s="57">
        <f ca="1">IFERROR(__xludf.DUMMYFUNCTION("""COMPUTED_VALUE"""),56)</f>
        <v>56</v>
      </c>
      <c r="E22" s="57" t="str">
        <f ca="1">IFERROR(__xludf.DUMMYFUNCTION("""COMPUTED_VALUE"""),"https://scholar.google.com.br/citations?hl=pt-BR&amp;view_op=list_hcore&amp;venue=kXowlNFROIgJ.2018")</f>
        <v>https://scholar.google.com.br/citations?hl=pt-BR&amp;view_op=list_hcore&amp;venue=kXowlNFROIgJ.2018</v>
      </c>
      <c r="F22" s="42"/>
      <c r="G22" s="42"/>
      <c r="H22" s="42"/>
      <c r="I22" s="42"/>
      <c r="J22" s="42"/>
    </row>
    <row r="23" spans="1:10" ht="25.5" customHeight="1">
      <c r="A23" s="94" t="str">
        <f ca="1">IFERROR(__xludf.DUMMYFUNCTION("""COMPUTED_VALUE"""),"Eventos da Área")</f>
        <v>Eventos da Área</v>
      </c>
      <c r="B23" s="57" t="str">
        <f ca="1">IFERROR(__xludf.DUMMYFUNCTION("""COMPUTED_VALUE"""),"WSDM")</f>
        <v>WSDM</v>
      </c>
      <c r="C23" s="57" t="str">
        <f ca="1">IFERROR(__xludf.DUMMYFUNCTION("""COMPUTED_VALUE"""),"ACM Conference International Conference on Web Search and Data Mining")</f>
        <v>ACM Conference International Conference on Web Search and Data Mining</v>
      </c>
      <c r="D23" s="57">
        <f ca="1">IFERROR(__xludf.DUMMYFUNCTION("""COMPUTED_VALUE"""),55)</f>
        <v>55</v>
      </c>
      <c r="E23" s="57" t="str">
        <f ca="1">IFERROR(__xludf.DUMMYFUNCTION("""COMPUTED_VALUE"""),"https://scholar.google.com.br/citations?hl=pt-BR&amp;view_op=list_hcore&amp;venue=6AbX1YWluE4J.2018")</f>
        <v>https://scholar.google.com.br/citations?hl=pt-BR&amp;view_op=list_hcore&amp;venue=6AbX1YWluE4J.2018</v>
      </c>
      <c r="F23" s="42"/>
      <c r="G23" s="42"/>
      <c r="H23" s="42"/>
      <c r="I23" s="42"/>
      <c r="J23" s="42"/>
    </row>
    <row r="24" spans="1:10" ht="25.5" customHeight="1">
      <c r="A24" s="94" t="str">
        <f ca="1">IFERROR(__xludf.DUMMYFUNCTION("""COMPUTED_VALUE"""),"Eventos da Área")</f>
        <v>Eventos da Área</v>
      </c>
      <c r="B24" s="57" t="str">
        <f ca="1">IFERROR(__xludf.DUMMYFUNCTION("""COMPUTED_VALUE"""),"ICWSM")</f>
        <v>ICWSM</v>
      </c>
      <c r="C24" s="57" t="str">
        <f ca="1">IFERROR(__xludf.DUMMYFUNCTION("""COMPUTED_VALUE"""),"International Conference on Web and Social Media")</f>
        <v>International Conference on Web and Social Media</v>
      </c>
      <c r="D24" s="57">
        <f ca="1">IFERROR(__xludf.DUMMYFUNCTION("""COMPUTED_VALUE"""),53)</f>
        <v>53</v>
      </c>
      <c r="E24" s="57" t="str">
        <f ca="1">IFERROR(__xludf.DUMMYFUNCTION("""COMPUTED_VALUE"""),"https://scholar.google.com.br/citations?hl=pt-BR&amp;view_op=list_hcore&amp;venue=eH4qSzdbVtwJ.2018")</f>
        <v>https://scholar.google.com.br/citations?hl=pt-BR&amp;view_op=list_hcore&amp;venue=eH4qSzdbVtwJ.2018</v>
      </c>
      <c r="F24" s="42"/>
      <c r="G24" s="42"/>
      <c r="H24" s="42"/>
      <c r="I24" s="42"/>
      <c r="J24" s="42"/>
    </row>
    <row r="25" spans="1:10" ht="25.5" customHeight="1">
      <c r="A25" s="94" t="str">
        <f ca="1">IFERROR(__xludf.DUMMYFUNCTION("""COMPUTED_VALUE"""),"Eventos da Área")</f>
        <v>Eventos da Área</v>
      </c>
      <c r="B25" s="57" t="str">
        <f ca="1">IFERROR(__xludf.DUMMYFUNCTION("""COMPUTED_VALUE"""),"CIKM")</f>
        <v>CIKM</v>
      </c>
      <c r="C25" s="57" t="str">
        <f ca="1">IFERROR(__xludf.DUMMYFUNCTION("""COMPUTED_VALUE"""),"ACM International Conference on Information and Knowledge Management")</f>
        <v>ACM International Conference on Information and Knowledge Management</v>
      </c>
      <c r="D25" s="57">
        <f ca="1">IFERROR(__xludf.DUMMYFUNCTION("""COMPUTED_VALUE"""),49)</f>
        <v>49</v>
      </c>
      <c r="E25" s="57" t="str">
        <f ca="1">IFERROR(__xludf.DUMMYFUNCTION("""COMPUTED_VALUE"""),"https://scholar.google.com.br/citations?hl=pt-BR&amp;view_op=list_hcore&amp;venue=V-IMg2OTpU8J.2018")</f>
        <v>https://scholar.google.com.br/citations?hl=pt-BR&amp;view_op=list_hcore&amp;venue=V-IMg2OTpU8J.2018</v>
      </c>
      <c r="F25" s="42"/>
      <c r="G25" s="42"/>
      <c r="H25" s="42"/>
      <c r="I25" s="42"/>
      <c r="J25" s="42"/>
    </row>
    <row r="26" spans="1:10" ht="25.5" customHeight="1">
      <c r="A26" s="94" t="str">
        <f ca="1">IFERROR(__xludf.DUMMYFUNCTION("""COMPUTED_VALUE"""),"Eventos da Área")</f>
        <v>Eventos da Área</v>
      </c>
      <c r="B26" s="45" t="str">
        <f ca="1">IFERROR(__xludf.DUMMYFUNCTION("""COMPUTED_VALUE"""),"RECSYS")</f>
        <v>RECSYS</v>
      </c>
      <c r="C26" s="57" t="str">
        <f ca="1">IFERROR(__xludf.DUMMYFUNCTION("""COMPUTED_VALUE"""),"ACM Conference on Recommender Systems")</f>
        <v>ACM Conference on Recommender Systems</v>
      </c>
      <c r="D26" s="57">
        <f ca="1">IFERROR(__xludf.DUMMYFUNCTION("""COMPUTED_VALUE"""),40)</f>
        <v>40</v>
      </c>
      <c r="E26" s="57" t="str">
        <f ca="1">IFERROR(__xludf.DUMMYFUNCTION("""COMPUTED_VALUE"""),"https://scholar.google.com.br/citations?hl=pt-BR&amp;view_op=list_hcore&amp;venue=4-w_STT7RmEJ.2018")</f>
        <v>https://scholar.google.com.br/citations?hl=pt-BR&amp;view_op=list_hcore&amp;venue=4-w_STT7RmEJ.2018</v>
      </c>
      <c r="F26" s="42"/>
      <c r="G26" s="42"/>
      <c r="H26" s="42"/>
      <c r="I26" s="42"/>
      <c r="J26" s="42"/>
    </row>
    <row r="27" spans="1:10" ht="25.5" customHeight="1">
      <c r="A27" s="94" t="str">
        <f ca="1">IFERROR(__xludf.DUMMYFUNCTION("""COMPUTED_VALUE"""),"Eventos da Área")</f>
        <v>Eventos da Área</v>
      </c>
      <c r="B27" s="57" t="str">
        <f ca="1">IFERROR(__xludf.DUMMYFUNCTION("""COMPUTED_VALUE"""),"ACMSOCC")</f>
        <v>ACMSOCC</v>
      </c>
      <c r="C27" s="57" t="str">
        <f ca="1">IFERROR(__xludf.DUMMYFUNCTION("""COMPUTED_VALUE"""),"ACM Symposium on Cloud Computing")</f>
        <v>ACM Symposium on Cloud Computing</v>
      </c>
      <c r="D27" s="57">
        <f ca="1">IFERROR(__xludf.DUMMYFUNCTION("""COMPUTED_VALUE"""),34)</f>
        <v>34</v>
      </c>
      <c r="E27" s="57" t="str">
        <f ca="1">IFERROR(__xludf.DUMMYFUNCTION("""COMPUTED_VALUE"""),"https://scholar.google.com.br/citations?hl=pt-BR&amp;view_op=list_hcore&amp;venue=o1durVJyeP4J.2019")</f>
        <v>https://scholar.google.com.br/citations?hl=pt-BR&amp;view_op=list_hcore&amp;venue=o1durVJyeP4J.2019</v>
      </c>
      <c r="F27" s="42"/>
      <c r="G27" s="42"/>
      <c r="H27" s="42"/>
      <c r="I27" s="42"/>
      <c r="J27" s="42"/>
    </row>
    <row r="28" spans="1:10" ht="25.5" customHeight="1">
      <c r="A28" s="94" t="str">
        <f ca="1">IFERROR(__xludf.DUMMYFUNCTION("""COMPUTED_VALUE"""),"Eventos da Área")</f>
        <v>Eventos da Área</v>
      </c>
      <c r="B28" s="95"/>
      <c r="C28" s="57" t="str">
        <f ca="1">IFERROR(__xludf.DUMMYFUNCTION("""COMPUTED_VALUE"""),"SIGNLL Conference on Computational Natural Language Learning")</f>
        <v>SIGNLL Conference on Computational Natural Language Learning</v>
      </c>
      <c r="D28" s="57">
        <f ca="1">IFERROR(__xludf.DUMMYFUNCTION("""COMPUTED_VALUE"""),34)</f>
        <v>34</v>
      </c>
      <c r="E28" s="57" t="str">
        <f ca="1">IFERROR(__xludf.DUMMYFUNCTION("""COMPUTED_VALUE"""),"https://scholar.google.com.br/citations?hl=pt-BR&amp;view_op=list_hcore&amp;venue=H7TUtVM_vm4J.2019")</f>
        <v>https://scholar.google.com.br/citations?hl=pt-BR&amp;view_op=list_hcore&amp;venue=H7TUtVM_vm4J.2019</v>
      </c>
      <c r="F28" s="42"/>
      <c r="G28" s="42"/>
      <c r="H28" s="42"/>
      <c r="I28" s="42"/>
      <c r="J28" s="42"/>
    </row>
    <row r="29" spans="1:10" ht="25.5" customHeight="1">
      <c r="A29" s="94" t="str">
        <f ca="1">IFERROR(__xludf.DUMMYFUNCTION("""COMPUTED_VALUE"""),"Eventos da Área")</f>
        <v>Eventos da Área</v>
      </c>
      <c r="B29" s="57" t="str">
        <f ca="1">IFERROR(__xludf.DUMMYFUNCTION("""COMPUTED_VALUE"""),"ASONAM")</f>
        <v>ASONAM</v>
      </c>
      <c r="C29" s="57" t="str">
        <f ca="1">IFERROR(__xludf.DUMMYFUNCTION("""COMPUTED_VALUE"""),"International Conference on Advances in Social Networks Analysis and Mining")</f>
        <v>International Conference on Advances in Social Networks Analysis and Mining</v>
      </c>
      <c r="D29" s="57">
        <f ca="1">IFERROR(__xludf.DUMMYFUNCTION("""COMPUTED_VALUE"""),31)</f>
        <v>31</v>
      </c>
      <c r="E29" s="57" t="str">
        <f ca="1">IFERROR(__xludf.DUMMYFUNCTION("""COMPUTED_VALUE"""),"https://scholar.google.com.br/citations?hl=pt-BR&amp;view_op=list_hcore&amp;venue=71Q5CJZj-VYJ.2018")</f>
        <v>https://scholar.google.com.br/citations?hl=pt-BR&amp;view_op=list_hcore&amp;venue=71Q5CJZj-VYJ.2018</v>
      </c>
      <c r="F29" s="42"/>
      <c r="G29" s="42"/>
      <c r="H29" s="42"/>
      <c r="I29" s="42"/>
      <c r="J29" s="42"/>
    </row>
    <row r="30" spans="1:10" ht="25.5" customHeight="1">
      <c r="A30" s="94" t="str">
        <f ca="1">IFERROR(__xludf.DUMMYFUNCTION("""COMPUTED_VALUE"""),"Eventos da Área")</f>
        <v>Eventos da Área</v>
      </c>
      <c r="B30" s="57" t="str">
        <f ca="1">IFERROR(__xludf.DUMMYFUNCTION("""COMPUTED_VALUE"""),"CLOUD")</f>
        <v>CLOUD</v>
      </c>
      <c r="C30" s="57" t="str">
        <f ca="1">IFERROR(__xludf.DUMMYFUNCTION("""COMPUTED_VALUE"""),"IEEE International Conference on Cloud Computing")</f>
        <v>IEEE International Conference on Cloud Computing</v>
      </c>
      <c r="D30" s="57">
        <f ca="1">IFERROR(__xludf.DUMMYFUNCTION("""COMPUTED_VALUE"""),31)</f>
        <v>31</v>
      </c>
      <c r="E30" s="57" t="str">
        <f ca="1">IFERROR(__xludf.DUMMYFUNCTION("""COMPUTED_VALUE"""),"https://scholar.google.com.br/citations?hl=pt-BR&amp;view_op=list_hcore&amp;venue=ioohKoS5imcJ.2018")</f>
        <v>https://scholar.google.com.br/citations?hl=pt-BR&amp;view_op=list_hcore&amp;venue=ioohKoS5imcJ.2018</v>
      </c>
      <c r="F30" s="42"/>
      <c r="G30" s="42"/>
      <c r="H30" s="42"/>
      <c r="I30" s="42"/>
      <c r="J30" s="42"/>
    </row>
    <row r="31" spans="1:10" ht="25.5" customHeight="1">
      <c r="A31" s="94" t="str">
        <f ca="1">IFERROR(__xludf.DUMMYFUNCTION("""COMPUTED_VALUE"""),"Eventos da Área")</f>
        <v>Eventos da Área</v>
      </c>
      <c r="B31" s="57" t="str">
        <f ca="1">IFERROR(__xludf.DUMMYFUNCTION("""COMPUTED_VALUE"""),"COGSCI")</f>
        <v>COGSCI</v>
      </c>
      <c r="C31" s="57" t="str">
        <f ca="1">IFERROR(__xludf.DUMMYFUNCTION("""COMPUTED_VALUE"""),"Annual Meeting of the Cognitive Science Society")</f>
        <v>Annual Meeting of the Cognitive Science Society</v>
      </c>
      <c r="D31" s="57">
        <f ca="1">IFERROR(__xludf.DUMMYFUNCTION("""COMPUTED_VALUE"""),29)</f>
        <v>29</v>
      </c>
      <c r="E31" s="57" t="str">
        <f ca="1">IFERROR(__xludf.DUMMYFUNCTION("""COMPUTED_VALUE"""),"https://scholar.google.com.br/citations?hl=pt-BR&amp;view_op=list_hcore&amp;venue=e23jKy7NXr8J.2018")</f>
        <v>https://scholar.google.com.br/citations?hl=pt-BR&amp;view_op=list_hcore&amp;venue=e23jKy7NXr8J.2018</v>
      </c>
      <c r="F31" s="42"/>
      <c r="G31" s="42"/>
      <c r="H31" s="42"/>
      <c r="I31" s="42"/>
      <c r="J31" s="42"/>
    </row>
    <row r="32" spans="1:10" ht="25.5" customHeight="1">
      <c r="A32" s="94" t="str">
        <f ca="1">IFERROR(__xludf.DUMMYFUNCTION("""COMPUTED_VALUE"""),"Eventos da Área")</f>
        <v>Eventos da Área</v>
      </c>
      <c r="B32" s="57" t="str">
        <f ca="1">IFERROR(__xludf.DUMMYFUNCTION("""COMPUTED_VALUE"""),"BPM")</f>
        <v>BPM</v>
      </c>
      <c r="C32" s="57" t="str">
        <f ca="1">IFERROR(__xludf.DUMMYFUNCTION("""COMPUTED_VALUE"""),"International Conference on Business Process Management")</f>
        <v>International Conference on Business Process Management</v>
      </c>
      <c r="D32" s="57">
        <f ca="1">IFERROR(__xludf.DUMMYFUNCTION("""COMPUTED_VALUE"""),27)</f>
        <v>27</v>
      </c>
      <c r="E32" s="57" t="str">
        <f ca="1">IFERROR(__xludf.DUMMYFUNCTION("""COMPUTED_VALUE"""),"https://scholar.google.com.br/citations?hl=pt-BR&amp;view_op=list_hcore&amp;venue=0N6unYCR7HoJ.2018")</f>
        <v>https://scholar.google.com.br/citations?hl=pt-BR&amp;view_op=list_hcore&amp;venue=0N6unYCR7HoJ.2018</v>
      </c>
      <c r="F32" s="42"/>
      <c r="G32" s="42"/>
      <c r="H32" s="42"/>
      <c r="I32" s="42"/>
      <c r="J32" s="42"/>
    </row>
    <row r="33" spans="1:10" ht="25.5" customHeight="1">
      <c r="A33" s="94" t="str">
        <f ca="1">IFERROR(__xludf.DUMMYFUNCTION("""COMPUTED_VALUE"""),"Eventos da Área")</f>
        <v>Eventos da Área</v>
      </c>
      <c r="B33" s="57" t="str">
        <f ca="1">IFERROR(__xludf.DUMMYFUNCTION("""COMPUTED_VALUE"""),"WEBSCI")</f>
        <v>WEBSCI</v>
      </c>
      <c r="C33" s="57" t="str">
        <f ca="1">IFERROR(__xludf.DUMMYFUNCTION("""COMPUTED_VALUE"""),"Web Science Conference")</f>
        <v>Web Science Conference</v>
      </c>
      <c r="D33" s="57">
        <f ca="1">IFERROR(__xludf.DUMMYFUNCTION("""COMPUTED_VALUE"""),26)</f>
        <v>26</v>
      </c>
      <c r="E33" s="57" t="str">
        <f ca="1">IFERROR(__xludf.DUMMYFUNCTION("""COMPUTED_VALUE"""),"https://scholar.google.com.br/citations?hl=pt-BR&amp;view_op=list_hcore&amp;venue=bjjY0KRB7JIJ.2018")</f>
        <v>https://scholar.google.com.br/citations?hl=pt-BR&amp;view_op=list_hcore&amp;venue=bjjY0KRB7JIJ.2018</v>
      </c>
      <c r="F33" s="42"/>
      <c r="G33" s="42"/>
      <c r="H33" s="42"/>
      <c r="I33" s="42"/>
      <c r="J33" s="42"/>
    </row>
    <row r="34" spans="1:10" ht="25.5" customHeight="1">
      <c r="A34" s="94" t="str">
        <f ca="1">IFERROR(__xludf.DUMMYFUNCTION("""COMPUTED_VALUE"""),"Eventos da Área")</f>
        <v>Eventos da Área</v>
      </c>
      <c r="B34" s="57" t="str">
        <f ca="1">IFERROR(__xludf.DUMMYFUNCTION("""COMPUTED_VALUE"""),"CloudCom")</f>
        <v>CloudCom</v>
      </c>
      <c r="C34" s="57" t="str">
        <f ca="1">IFERROR(__xludf.DUMMYFUNCTION("""COMPUTED_VALUE"""),"IEEE International Conference on Cloud Computing, Technology and Science")</f>
        <v>IEEE International Conference on Cloud Computing, Technology and Science</v>
      </c>
      <c r="D34" s="57">
        <f ca="1">IFERROR(__xludf.DUMMYFUNCTION("""COMPUTED_VALUE"""),25)</f>
        <v>25</v>
      </c>
      <c r="E34" s="57" t="str">
        <f ca="1">IFERROR(__xludf.DUMMYFUNCTION("""COMPUTED_VALUE"""),"https://scholar.google.com.br/citations?hl=pt-BR&amp;view_op=list_hcore&amp;venue=aNZ314HiR4YJ.2018")</f>
        <v>https://scholar.google.com.br/citations?hl=pt-BR&amp;view_op=list_hcore&amp;venue=aNZ314HiR4YJ.2018</v>
      </c>
      <c r="F34" s="42"/>
      <c r="G34" s="42"/>
      <c r="H34" s="42"/>
      <c r="I34" s="42"/>
      <c r="J34" s="42"/>
    </row>
    <row r="35" spans="1:10" ht="25.5" customHeight="1">
      <c r="A35" s="94" t="str">
        <f ca="1">IFERROR(__xludf.DUMMYFUNCTION("""COMPUTED_VALUE"""),"Eventos da Área")</f>
        <v>Eventos da Área</v>
      </c>
      <c r="B35" s="45" t="str">
        <f ca="1">IFERROR(__xludf.DUMMYFUNCTION("""COMPUTED_VALUE"""),"ISCRAM")</f>
        <v>ISCRAM</v>
      </c>
      <c r="C35" s="57" t="str">
        <f ca="1">IFERROR(__xludf.DUMMYFUNCTION("""COMPUTED_VALUE"""),"Information Systems for Crisis Response and Management")</f>
        <v>Information Systems for Crisis Response and Management</v>
      </c>
      <c r="D35" s="57">
        <f ca="1">IFERROR(__xludf.DUMMYFUNCTION("""COMPUTED_VALUE"""),24)</f>
        <v>24</v>
      </c>
      <c r="E35" s="57" t="str">
        <f ca="1">IFERROR(__xludf.DUMMYFUNCTION("""COMPUTED_VALUE"""),"https://scholar.google.com.br/citations?hl=pt-BR&amp;view_op=list_hcore&amp;venue=jpqK-S5bXocJ.2018")</f>
        <v>https://scholar.google.com.br/citations?hl=pt-BR&amp;view_op=list_hcore&amp;venue=jpqK-S5bXocJ.2018</v>
      </c>
      <c r="F35" s="42"/>
      <c r="G35" s="42"/>
      <c r="H35" s="42"/>
      <c r="I35" s="42"/>
      <c r="J35" s="42"/>
    </row>
    <row r="36" spans="1:10" ht="25.5" customHeight="1">
      <c r="A36" s="94" t="str">
        <f ca="1">IFERROR(__xludf.DUMMYFUNCTION("""COMPUTED_VALUE"""),"Eventos da Área")</f>
        <v>Eventos da Área</v>
      </c>
      <c r="B36" s="57" t="str">
        <f ca="1">IFERROR(__xludf.DUMMYFUNCTION("""COMPUTED_VALUE"""),"IAS")</f>
        <v>IAS</v>
      </c>
      <c r="C36" s="57" t="str">
        <f ca="1">IFERROR(__xludf.DUMMYFUNCTION("""COMPUTED_VALUE"""),"Industry Applications Society Annual Meeting")</f>
        <v>Industry Applications Society Annual Meeting</v>
      </c>
      <c r="D36" s="57">
        <f ca="1">IFERROR(__xludf.DUMMYFUNCTION("""COMPUTED_VALUE"""),23)</f>
        <v>23</v>
      </c>
      <c r="E36" s="57" t="str">
        <f ca="1">IFERROR(__xludf.DUMMYFUNCTION("""COMPUTED_VALUE"""),"https://scholar.google.com.br/citations?hl=pt-BR&amp;view_op=list_hcore&amp;venue=gGlXeJBf1F4J.2018")</f>
        <v>https://scholar.google.com.br/citations?hl=pt-BR&amp;view_op=list_hcore&amp;venue=gGlXeJBf1F4J.2018</v>
      </c>
      <c r="F36" s="42"/>
      <c r="G36" s="42"/>
      <c r="H36" s="42"/>
      <c r="I36" s="42"/>
      <c r="J36" s="42"/>
    </row>
    <row r="37" spans="1:10" ht="25.5" customHeight="1">
      <c r="A37" s="94" t="str">
        <f ca="1">IFERROR(__xludf.DUMMYFUNCTION("""COMPUTED_VALUE"""),"Eventos da Área")</f>
        <v>Eventos da Área</v>
      </c>
      <c r="B37" s="57"/>
      <c r="C37" s="95" t="str">
        <f ca="1">IFERROR(__xludf.DUMMYFUNCTION("""COMPUTED_VALUE"""),"IEEE International Conference on Web Services")</f>
        <v>IEEE International Conference on Web Services</v>
      </c>
      <c r="D37" s="57">
        <f ca="1">IFERROR(__xludf.DUMMYFUNCTION("""COMPUTED_VALUE"""),23)</f>
        <v>23</v>
      </c>
      <c r="E37" s="57" t="str">
        <f ca="1">IFERROR(__xludf.DUMMYFUNCTION("""COMPUTED_VALUE"""),"https://scholar.google.com.br/citations?hl=pt-BR&amp;view_op=list_hcore&amp;venue=UYzshLpmx2EJ.2018")</f>
        <v>https://scholar.google.com.br/citations?hl=pt-BR&amp;view_op=list_hcore&amp;venue=UYzshLpmx2EJ.2018</v>
      </c>
      <c r="F37" s="42"/>
      <c r="G37" s="42"/>
      <c r="H37" s="42"/>
      <c r="I37" s="42"/>
      <c r="J37" s="42"/>
    </row>
    <row r="38" spans="1:10" ht="25.5" customHeight="1">
      <c r="A38" s="94" t="str">
        <f ca="1">IFERROR(__xludf.DUMMYFUNCTION("""COMPUTED_VALUE"""),"Eventos da Área")</f>
        <v>Eventos da Área</v>
      </c>
      <c r="B38" s="57" t="str">
        <f ca="1">IFERROR(__xludf.DUMMYFUNCTION("""COMPUTED_VALUE"""),"IMC")</f>
        <v>IMC</v>
      </c>
      <c r="C38" s="57" t="str">
        <f ca="1">IFERROR(__xludf.DUMMYFUNCTION("""COMPUTED_VALUE"""),"International Middleware Conference")</f>
        <v>International Middleware Conference</v>
      </c>
      <c r="D38" s="57">
        <f ca="1">IFERROR(__xludf.DUMMYFUNCTION("""COMPUTED_VALUE"""),23)</f>
        <v>23</v>
      </c>
      <c r="E38" s="57" t="str">
        <f ca="1">IFERROR(__xludf.DUMMYFUNCTION("""COMPUTED_VALUE"""),"https://scholar.google.com.br/citations?hl=pt-BR&amp;view_op=list_hcore&amp;venue=NA4iP0Rm0toJ.2019")</f>
        <v>https://scholar.google.com.br/citations?hl=pt-BR&amp;view_op=list_hcore&amp;venue=NA4iP0Rm0toJ.2019</v>
      </c>
      <c r="F38" s="42"/>
      <c r="G38" s="42"/>
      <c r="H38" s="42"/>
      <c r="I38" s="42"/>
      <c r="J38" s="42"/>
    </row>
    <row r="39" spans="1:10" ht="25.5" customHeight="1">
      <c r="A39" s="94" t="str">
        <f ca="1">IFERROR(__xludf.DUMMYFUNCTION("""COMPUTED_VALUE"""),"Eventos da Área")</f>
        <v>Eventos da Área</v>
      </c>
      <c r="B39" s="57" t="str">
        <f ca="1">IFERROR(__xludf.DUMMYFUNCTION("""COMPUTED_VALUE"""),"HT")</f>
        <v>HT</v>
      </c>
      <c r="C39" s="57" t="str">
        <f ca="1">IFERROR(__xludf.DUMMYFUNCTION("""COMPUTED_VALUE"""),"ACM Conference on Hypertext and Hypermedia")</f>
        <v>ACM Conference on Hypertext and Hypermedia</v>
      </c>
      <c r="D39" s="57">
        <f ca="1">IFERROR(__xludf.DUMMYFUNCTION("""COMPUTED_VALUE"""),22)</f>
        <v>22</v>
      </c>
      <c r="E39" s="57" t="str">
        <f ca="1">IFERROR(__xludf.DUMMYFUNCTION("""COMPUTED_VALUE"""),"https://scholar.google.com.br/citations?hl=pt-BR&amp;view_op=list_hcore&amp;venue=U4LFuNlM8GMJ.2018")</f>
        <v>https://scholar.google.com.br/citations?hl=pt-BR&amp;view_op=list_hcore&amp;venue=U4LFuNlM8GMJ.2018</v>
      </c>
      <c r="F39" s="42"/>
      <c r="G39" s="42"/>
      <c r="H39" s="42"/>
      <c r="I39" s="42"/>
      <c r="J39" s="42"/>
    </row>
    <row r="40" spans="1:10" ht="25.5" customHeight="1">
      <c r="A40" s="94" t="str">
        <f ca="1">IFERROR(__xludf.DUMMYFUNCTION("""COMPUTED_VALUE"""),"Eventos da Área")</f>
        <v>Eventos da Área</v>
      </c>
      <c r="B40" s="57" t="str">
        <f ca="1">IFERROR(__xludf.DUMMYFUNCTION("""COMPUTED_VALUE"""),"UMAP")</f>
        <v>UMAP</v>
      </c>
      <c r="C40" s="57" t="str">
        <f ca="1">IFERROR(__xludf.DUMMYFUNCTION("""COMPUTED_VALUE"""),"International Conference on User Modeling, Adaptation and Personalization")</f>
        <v>International Conference on User Modeling, Adaptation and Personalization</v>
      </c>
      <c r="D40" s="57">
        <f ca="1">IFERROR(__xludf.DUMMYFUNCTION("""COMPUTED_VALUE"""),22)</f>
        <v>22</v>
      </c>
      <c r="E40" s="57" t="str">
        <f ca="1">IFERROR(__xludf.DUMMYFUNCTION("""COMPUTED_VALUE"""),"https://scholar.google.com.br/citations?hl=pt-BR&amp;view_op=list_hcore&amp;venue=jtXTIwcBWV8J.2018")</f>
        <v>https://scholar.google.com.br/citations?hl=pt-BR&amp;view_op=list_hcore&amp;venue=jtXTIwcBWV8J.2018</v>
      </c>
      <c r="F40" s="42"/>
      <c r="G40" s="42"/>
      <c r="H40" s="42"/>
      <c r="I40" s="42"/>
      <c r="J40" s="42"/>
    </row>
    <row r="41" spans="1:10" ht="25.5" customHeight="1">
      <c r="A41" s="94" t="str">
        <f ca="1">IFERROR(__xludf.DUMMYFUNCTION("""COMPUTED_VALUE"""),"Eventos da Área")</f>
        <v>Eventos da Área</v>
      </c>
      <c r="B41" s="57" t="str">
        <f ca="1">IFERROR(__xludf.DUMMYFUNCTION("""COMPUTED_VALUE"""),"SOCIALCOM")</f>
        <v>SOCIALCOM</v>
      </c>
      <c r="C41" s="57" t="str">
        <f ca="1">IFERROR(__xludf.DUMMYFUNCTION("""COMPUTED_VALUE"""),"International Conference on Social Computing")</f>
        <v>International Conference on Social Computing</v>
      </c>
      <c r="D41" s="57">
        <f ca="1">IFERROR(__xludf.DUMMYFUNCTION("""COMPUTED_VALUE"""),21)</f>
        <v>21</v>
      </c>
      <c r="E41" s="57" t="str">
        <f ca="1">IFERROR(__xludf.DUMMYFUNCTION("""COMPUTED_VALUE"""),"https://scholar.google.com.br/citations?hl=pt-BR&amp;view_op=list_hcore&amp;venue=7aapB1klPAcJ.2018")</f>
        <v>https://scholar.google.com.br/citations?hl=pt-BR&amp;view_op=list_hcore&amp;venue=7aapB1klPAcJ.2018</v>
      </c>
      <c r="F41" s="42"/>
      <c r="G41" s="42"/>
      <c r="H41" s="42"/>
      <c r="I41" s="42"/>
      <c r="J41" s="42"/>
    </row>
    <row r="42" spans="1:10" ht="25.5" customHeight="1">
      <c r="A42" s="94" t="str">
        <f ca="1">IFERROR(__xludf.DUMMYFUNCTION("""COMPUTED_VALUE"""),"Eventos da Área")</f>
        <v>Eventos da Área</v>
      </c>
      <c r="B42" s="45" t="str">
        <f ca="1">IFERROR(__xludf.DUMMYFUNCTION("""COMPUTED_VALUE"""),"SOCINFO")</f>
        <v>SOCINFO</v>
      </c>
      <c r="C42" s="57" t="str">
        <f ca="1">IFERROR(__xludf.DUMMYFUNCTION("""COMPUTED_VALUE"""),"International Conference on Social Informatics")</f>
        <v>International Conference on Social Informatics</v>
      </c>
      <c r="D42" s="57">
        <f ca="1">IFERROR(__xludf.DUMMYFUNCTION("""COMPUTED_VALUE"""),21)</f>
        <v>21</v>
      </c>
      <c r="E42" s="57" t="str">
        <f ca="1">IFERROR(__xludf.DUMMYFUNCTION("""COMPUTED_VALUE"""),"https://scholar.google.com.br/citations?hl=pt-BR&amp;view_op=list_hcore&amp;venue=FQ-Mb1qR5dQJ.2019")</f>
        <v>https://scholar.google.com.br/citations?hl=pt-BR&amp;view_op=list_hcore&amp;venue=FQ-Mb1qR5dQJ.2019</v>
      </c>
      <c r="F42" s="42"/>
      <c r="G42" s="42"/>
      <c r="H42" s="42"/>
      <c r="I42" s="42"/>
      <c r="J42" s="42"/>
    </row>
    <row r="43" spans="1:10" ht="25.5" customHeight="1">
      <c r="A43" s="94" t="str">
        <f ca="1">IFERROR(__xludf.DUMMYFUNCTION("""COMPUTED_VALUE"""),"Eventos da Área")</f>
        <v>Eventos da Área</v>
      </c>
      <c r="B43" s="57" t="str">
        <f ca="1">IFERROR(__xludf.DUMMYFUNCTION("""COMPUTED_VALUE"""),"HCOMP")</f>
        <v>HCOMP</v>
      </c>
      <c r="C43" s="57" t="str">
        <f ca="1">IFERROR(__xludf.DUMMYFUNCTION("""COMPUTED_VALUE"""),"Conference on Human Computation and Crowdsourcing")</f>
        <v>Conference on Human Computation and Crowdsourcing</v>
      </c>
      <c r="D43" s="57">
        <f ca="1">IFERROR(__xludf.DUMMYFUNCTION("""COMPUTED_VALUE"""),21)</f>
        <v>21</v>
      </c>
      <c r="E43" s="57" t="str">
        <f ca="1">IFERROR(__xludf.DUMMYFUNCTION("""COMPUTED_VALUE"""),"https://scholar.google.com.br/citations?hl=pt-BR&amp;view_op=list_hcore&amp;venue=qdOiyX83Y5cJ.2019")</f>
        <v>https://scholar.google.com.br/citations?hl=pt-BR&amp;view_op=list_hcore&amp;venue=qdOiyX83Y5cJ.2019</v>
      </c>
      <c r="F43" s="42"/>
      <c r="G43" s="42"/>
      <c r="H43" s="42"/>
      <c r="I43" s="42"/>
      <c r="J43" s="42"/>
    </row>
    <row r="44" spans="1:10" ht="25.5" customHeight="1">
      <c r="A44" s="94" t="str">
        <f ca="1">IFERROR(__xludf.DUMMYFUNCTION("""COMPUTED_VALUE"""),"Eventos da Área")</f>
        <v>Eventos da Área</v>
      </c>
      <c r="B44" s="57"/>
      <c r="C44" s="57" t="str">
        <f ca="1">IFERROR(__xludf.DUMMYFUNCTION("""COMPUTED_VALUE"""),"International Conference on Semantic Computing")</f>
        <v>International Conference on Semantic Computing</v>
      </c>
      <c r="D44" s="57">
        <f ca="1">IFERROR(__xludf.DUMMYFUNCTION("""COMPUTED_VALUE"""),21)</f>
        <v>21</v>
      </c>
      <c r="E44" s="57" t="str">
        <f ca="1">IFERROR(__xludf.DUMMYFUNCTION("""COMPUTED_VALUE"""),"https://scholar.google.com.br/citations?hl=pt-BR&amp;view_op=list_hcore&amp;venue=xo4pTqxCvn8J.2019")</f>
        <v>https://scholar.google.com.br/citations?hl=pt-BR&amp;view_op=list_hcore&amp;venue=xo4pTqxCvn8J.2019</v>
      </c>
      <c r="F44" s="42"/>
      <c r="G44" s="42"/>
      <c r="H44" s="42"/>
      <c r="I44" s="42"/>
      <c r="J44" s="42"/>
    </row>
    <row r="45" spans="1:10" ht="25.5" customHeight="1">
      <c r="A45" s="94" t="str">
        <f ca="1">IFERROR(__xludf.DUMMYFUNCTION("""COMPUTED_VALUE"""),"Eventos da Área")</f>
        <v>Eventos da Área</v>
      </c>
      <c r="B45" s="57"/>
      <c r="C45" s="57" t="str">
        <f ca="1">IFERROR(__xludf.DUMMYFUNCTION("""COMPUTED_VALUE"""),"IEEE International Conference on Services Computing")</f>
        <v>IEEE International Conference on Services Computing</v>
      </c>
      <c r="D45" s="57">
        <f ca="1">IFERROR(__xludf.DUMMYFUNCTION("""COMPUTED_VALUE"""),18)</f>
        <v>18</v>
      </c>
      <c r="E45" s="57" t="str">
        <f ca="1">IFERROR(__xludf.DUMMYFUNCTION("""COMPUTED_VALUE"""),"https://scholar.google.com.br/citations?hl=pt-BR&amp;view_op=list_hcore&amp;venue=_Fj23yox54QJ.2018")</f>
        <v>https://scholar.google.com.br/citations?hl=pt-BR&amp;view_op=list_hcore&amp;venue=_Fj23yox54QJ.2018</v>
      </c>
      <c r="F45" s="42"/>
      <c r="G45" s="42"/>
      <c r="H45" s="42"/>
      <c r="I45" s="42"/>
      <c r="J45" s="42"/>
    </row>
    <row r="46" spans="1:10" ht="25.5" customHeight="1">
      <c r="A46" s="94" t="str">
        <f ca="1">IFERROR(__xludf.DUMMYFUNCTION("""COMPUTED_VALUE"""),"Eventos da Área")</f>
        <v>Eventos da Área</v>
      </c>
      <c r="B46" s="57" t="str">
        <f ca="1">IFERROR(__xludf.DUMMYFUNCTION("""COMPUTED_VALUE"""),"ITNG")</f>
        <v>ITNG</v>
      </c>
      <c r="C46" s="57" t="str">
        <f ca="1">IFERROR(__xludf.DUMMYFUNCTION("""COMPUTED_VALUE"""),"International Conference on Information Technology : New Generations")</f>
        <v>International Conference on Information Technology : New Generations</v>
      </c>
      <c r="D46" s="57">
        <f ca="1">IFERROR(__xludf.DUMMYFUNCTION("""COMPUTED_VALUE"""),17)</f>
        <v>17</v>
      </c>
      <c r="E46" s="57" t="str">
        <f ca="1">IFERROR(__xludf.DUMMYFUNCTION("""COMPUTED_VALUE"""),"https://scholar.google.com.br/citations?hl=pt-BR&amp;view_op=list_hcore&amp;venue=n2j6wbZrIFcJ.2018")</f>
        <v>https://scholar.google.com.br/citations?hl=pt-BR&amp;view_op=list_hcore&amp;venue=n2j6wbZrIFcJ.2018</v>
      </c>
      <c r="F46" s="42"/>
      <c r="G46" s="42"/>
      <c r="H46" s="42"/>
      <c r="I46" s="42"/>
      <c r="J46" s="42"/>
    </row>
    <row r="47" spans="1:10" ht="25.5" customHeight="1">
      <c r="A47" s="94" t="str">
        <f ca="1">IFERROR(__xludf.DUMMYFUNCTION("""COMPUTED_VALUE"""),"Eventos da Área")</f>
        <v>Eventos da Área</v>
      </c>
      <c r="B47" s="57" t="str">
        <f ca="1">IFERROR(__xludf.DUMMYFUNCTION("""COMPUTED_VALUE"""),"RCIS")</f>
        <v>RCIS</v>
      </c>
      <c r="C47" s="57" t="str">
        <f ca="1">IFERROR(__xludf.DUMMYFUNCTION("""COMPUTED_VALUE"""),"International Conference on Research Challenges in Information Science")</f>
        <v>International Conference on Research Challenges in Information Science</v>
      </c>
      <c r="D47" s="57">
        <f ca="1">IFERROR(__xludf.DUMMYFUNCTION("""COMPUTED_VALUE"""),17)</f>
        <v>17</v>
      </c>
      <c r="E47" s="57" t="str">
        <f ca="1">IFERROR(__xludf.DUMMYFUNCTION("""COMPUTED_VALUE"""),"https://scholar.google.com.br/citations?hl=pt-BR&amp;view_op=list_hcore&amp;venue=yxUYnK6YD7QJ.2018")</f>
        <v>https://scholar.google.com.br/citations?hl=pt-BR&amp;view_op=list_hcore&amp;venue=yxUYnK6YD7QJ.2018</v>
      </c>
      <c r="F47" s="42"/>
      <c r="G47" s="42"/>
      <c r="H47" s="42"/>
      <c r="I47" s="42"/>
      <c r="J47" s="42"/>
    </row>
    <row r="48" spans="1:10" ht="25.5" customHeight="1">
      <c r="A48" s="94" t="str">
        <f ca="1">IFERROR(__xludf.DUMMYFUNCTION("""COMPUTED_VALUE"""),"Eventos da Área")</f>
        <v>Eventos da Área</v>
      </c>
      <c r="B48" s="57" t="str">
        <f ca="1">IFERROR(__xludf.DUMMYFUNCTION("""COMPUTED_VALUE"""),"DG.O")</f>
        <v>DG.O</v>
      </c>
      <c r="C48" s="57" t="str">
        <f ca="1">IFERROR(__xludf.DUMMYFUNCTION("""COMPUTED_VALUE"""),"Annual International Conference on Digital Government Research")</f>
        <v>Annual International Conference on Digital Government Research</v>
      </c>
      <c r="D48" s="57">
        <f ca="1">IFERROR(__xludf.DUMMYFUNCTION("""COMPUTED_VALUE"""),17)</f>
        <v>17</v>
      </c>
      <c r="E48" s="57" t="str">
        <f ca="1">IFERROR(__xludf.DUMMYFUNCTION("""COMPUTED_VALUE"""),"https://scholar.google.com.br/citations?hl=pt-BR&amp;view_op=list_hcore&amp;venue=109OuuD55eYJ.2018")</f>
        <v>https://scholar.google.com.br/citations?hl=pt-BR&amp;view_op=list_hcore&amp;venue=109OuuD55eYJ.2018</v>
      </c>
      <c r="F48" s="42"/>
      <c r="G48" s="42"/>
      <c r="H48" s="42"/>
      <c r="I48" s="42"/>
      <c r="J48" s="42"/>
    </row>
    <row r="49" spans="1:10" ht="25.5" customHeight="1">
      <c r="A49" s="94" t="str">
        <f ca="1">IFERROR(__xludf.DUMMYFUNCTION("""COMPUTED_VALUE"""),"Eventos da Área")</f>
        <v>Eventos da Área</v>
      </c>
      <c r="B49" s="57" t="str">
        <f ca="1">IFERROR(__xludf.DUMMYFUNCTION("""COMPUTED_VALUE"""),"ICWE")</f>
        <v>ICWE</v>
      </c>
      <c r="C49" s="57" t="str">
        <f ca="1">IFERROR(__xludf.DUMMYFUNCTION("""COMPUTED_VALUE"""),"International Conference on Web Engineering")</f>
        <v>International Conference on Web Engineering</v>
      </c>
      <c r="D49" s="57">
        <f ca="1">IFERROR(__xludf.DUMMYFUNCTION("""COMPUTED_VALUE"""),17)</f>
        <v>17</v>
      </c>
      <c r="E49" s="57" t="str">
        <f ca="1">IFERROR(__xludf.DUMMYFUNCTION("""COMPUTED_VALUE"""),"https://scholar.google.com.br/citations?hl=pt-BR&amp;view_op=list_hcore&amp;venue=I8L8xmsrq2EJ.2019")</f>
        <v>https://scholar.google.com.br/citations?hl=pt-BR&amp;view_op=list_hcore&amp;venue=I8L8xmsrq2EJ.2019</v>
      </c>
      <c r="F49" s="42"/>
      <c r="G49" s="42"/>
      <c r="H49" s="42"/>
      <c r="I49" s="42"/>
      <c r="J49" s="42"/>
    </row>
    <row r="50" spans="1:10" ht="25.5" customHeight="1">
      <c r="A50" s="94" t="str">
        <f ca="1">IFERROR(__xludf.DUMMYFUNCTION("""COMPUTED_VALUE"""),"Eventos da Área")</f>
        <v>Eventos da Área</v>
      </c>
      <c r="B50" s="57" t="str">
        <f ca="1">IFERROR(__xludf.DUMMYFUNCTION("""COMPUTED_VALUE"""),"EGOV-CEDEM-EPART")</f>
        <v>EGOV-CEDEM-EPART</v>
      </c>
      <c r="C50" s="57" t="str">
        <f ca="1">IFERROR(__xludf.DUMMYFUNCTION("""COMPUTED_VALUE"""),"International Conference on Electronic Government/International Conference for E-Democracy and Open Government")</f>
        <v>International Conference on Electronic Government/International Conference for E-Democracy and Open Government</v>
      </c>
      <c r="D50" s="57">
        <f ca="1">IFERROR(__xludf.DUMMYFUNCTION("""COMPUTED_VALUE"""),16)</f>
        <v>16</v>
      </c>
      <c r="E50" s="57" t="str">
        <f ca="1">IFERROR(__xludf.DUMMYFUNCTION("""COMPUTED_VALUE"""),"https://scholar.google.com.br/citations?hl=pt-BR&amp;view_op=list_hcore&amp;venue=UF-KqO2gwjoJ.2018")</f>
        <v>https://scholar.google.com.br/citations?hl=pt-BR&amp;view_op=list_hcore&amp;venue=UF-KqO2gwjoJ.2018</v>
      </c>
      <c r="F50" s="42"/>
      <c r="G50" s="42"/>
      <c r="H50" s="42"/>
      <c r="I50" s="42"/>
      <c r="J50" s="42"/>
    </row>
    <row r="51" spans="1:10" ht="25.5" customHeight="1">
      <c r="A51" s="94" t="str">
        <f ca="1">IFERROR(__xludf.DUMMYFUNCTION("""COMPUTED_VALUE"""),"Eventos da Área")</f>
        <v>Eventos da Área</v>
      </c>
      <c r="B51" s="57" t="str">
        <f ca="1">IFERROR(__xludf.DUMMYFUNCTION("""COMPUTED_VALUE"""),"CBI")</f>
        <v>CBI</v>
      </c>
      <c r="C51" s="57" t="str">
        <f ca="1">IFERROR(__xludf.DUMMYFUNCTION("""COMPUTED_VALUE"""),"IEEE Conference on Business Informatics")</f>
        <v>IEEE Conference on Business Informatics</v>
      </c>
      <c r="D51" s="57">
        <f ca="1">IFERROR(__xludf.DUMMYFUNCTION("""COMPUTED_VALUE"""),16)</f>
        <v>16</v>
      </c>
      <c r="E51" s="57" t="str">
        <f ca="1">IFERROR(__xludf.DUMMYFUNCTION("""COMPUTED_VALUE"""),"https://scholar.google.com.br/citations?hl=pt-BR&amp;view_op=list_hcore&amp;venue=jUmAddBIvfsJ.2018")</f>
        <v>https://scholar.google.com.br/citations?hl=pt-BR&amp;view_op=list_hcore&amp;venue=jUmAddBIvfsJ.2018</v>
      </c>
      <c r="F51" s="42"/>
      <c r="G51" s="42"/>
      <c r="H51" s="42"/>
      <c r="I51" s="42"/>
      <c r="J51" s="42"/>
    </row>
    <row r="52" spans="1:10" ht="25.5" customHeight="1">
      <c r="A52" s="94" t="str">
        <f ca="1">IFERROR(__xludf.DUMMYFUNCTION("""COMPUTED_VALUE"""),"Eventos da Área")</f>
        <v>Eventos da Área</v>
      </c>
      <c r="B52" s="57"/>
      <c r="C52" s="57" t="str">
        <f ca="1">IFERROR(__xludf.DUMMYFUNCTION("""COMPUTED_VALUE"""),"International Conference on Cloud Computing and Services Science (CLOSER)")</f>
        <v>International Conference on Cloud Computing and Services Science (CLOSER)</v>
      </c>
      <c r="D52" s="57">
        <f ca="1">IFERROR(__xludf.DUMMYFUNCTION("""COMPUTED_VALUE"""),16)</f>
        <v>16</v>
      </c>
      <c r="E52" s="57" t="str">
        <f ca="1">IFERROR(__xludf.DUMMYFUNCTION("""COMPUTED_VALUE"""),"https://scholar.google.com.br/citations?hl=pt-BR&amp;view_op=list_hcore&amp;venue=hltkuBaF_uEJ.2019")</f>
        <v>https://scholar.google.com.br/citations?hl=pt-BR&amp;view_op=list_hcore&amp;venue=hltkuBaF_uEJ.2019</v>
      </c>
      <c r="F52" s="42"/>
      <c r="G52" s="42"/>
      <c r="H52" s="42"/>
      <c r="I52" s="42"/>
      <c r="J52" s="42"/>
    </row>
    <row r="53" spans="1:10" ht="25.5" customHeight="1">
      <c r="A53" s="94" t="str">
        <f ca="1">IFERROR(__xludf.DUMMYFUNCTION("""COMPUTED_VALUE"""),"Eventos da Área")</f>
        <v>Eventos da Área</v>
      </c>
      <c r="B53" s="57" t="str">
        <f ca="1">IFERROR(__xludf.DUMMYFUNCTION("""COMPUTED_VALUE"""),"IIWAS")</f>
        <v>IIWAS</v>
      </c>
      <c r="C53" s="57" t="str">
        <f ca="1">IFERROR(__xludf.DUMMYFUNCTION("""COMPUTED_VALUE"""),"International Conference on Information Integration and Web-based Applications &amp; Services")</f>
        <v>International Conference on Information Integration and Web-based Applications &amp; Services</v>
      </c>
      <c r="D53" s="57">
        <f ca="1">IFERROR(__xludf.DUMMYFUNCTION("""COMPUTED_VALUE"""),14)</f>
        <v>14</v>
      </c>
      <c r="E53" s="57" t="str">
        <f ca="1">IFERROR(__xludf.DUMMYFUNCTION("""COMPUTED_VALUE"""),"https://scholar.google.com.br/citations?hl=pt-BR&amp;view_op=list_hcore&amp;venue=Tq_VLYZkpzwJ.2018")</f>
        <v>https://scholar.google.com.br/citations?hl=pt-BR&amp;view_op=list_hcore&amp;venue=Tq_VLYZkpzwJ.2018</v>
      </c>
      <c r="F53" s="42"/>
      <c r="G53" s="42"/>
      <c r="H53" s="42"/>
      <c r="I53" s="42"/>
      <c r="J53" s="42"/>
    </row>
    <row r="54" spans="1:10" ht="25.5" customHeight="1">
      <c r="A54" s="94" t="str">
        <f ca="1">IFERROR(__xludf.DUMMYFUNCTION("""COMPUTED_VALUE"""),"Eventos da Área")</f>
        <v>Eventos da Área</v>
      </c>
      <c r="B54" s="57" t="str">
        <f ca="1">IFERROR(__xludf.DUMMYFUNCTION("""COMPUTED_VALUE"""),"DSAA")</f>
        <v>DSAA</v>
      </c>
      <c r="C54" s="57" t="str">
        <f ca="1">IFERROR(__xludf.DUMMYFUNCTION("""COMPUTED_VALUE"""),"IEEE International Conference on Data Science and Advanced Analytics")</f>
        <v>IEEE International Conference on Data Science and Advanced Analytics</v>
      </c>
      <c r="D54" s="57">
        <f ca="1">IFERROR(__xludf.DUMMYFUNCTION("""COMPUTED_VALUE"""),14)</f>
        <v>14</v>
      </c>
      <c r="E54" s="57" t="str">
        <f ca="1">IFERROR(__xludf.DUMMYFUNCTION("""COMPUTED_VALUE"""),"https://scholar.google.com.br/citations?hl=pt-BR&amp;view_op=list_hcore&amp;venue=ZHdJbJwh40EJ.2018")</f>
        <v>https://scholar.google.com.br/citations?hl=pt-BR&amp;view_op=list_hcore&amp;venue=ZHdJbJwh40EJ.2018</v>
      </c>
      <c r="F54" s="42"/>
      <c r="G54" s="42"/>
      <c r="H54" s="42"/>
      <c r="I54" s="42"/>
      <c r="J54" s="42"/>
    </row>
    <row r="55" spans="1:10" ht="25.5" customHeight="1">
      <c r="A55" s="94" t="str">
        <f ca="1">IFERROR(__xludf.DUMMYFUNCTION("""COMPUTED_VALUE"""),"Eventos da Área")</f>
        <v>Eventos da Área</v>
      </c>
      <c r="B55" s="57" t="str">
        <f ca="1">IFERROR(__xludf.DUMMYFUNCTION("""COMPUTED_VALUE"""),"ADBIS")</f>
        <v>ADBIS</v>
      </c>
      <c r="C55" s="57" t="str">
        <f ca="1">IFERROR(__xludf.DUMMYFUNCTION("""COMPUTED_VALUE"""),"European Conference on Advances in Databases and Information Systems")</f>
        <v>European Conference on Advances in Databases and Information Systems</v>
      </c>
      <c r="D55" s="57">
        <f ca="1">IFERROR(__xludf.DUMMYFUNCTION("""COMPUTED_VALUE"""),13)</f>
        <v>13</v>
      </c>
      <c r="E55" s="57" t="str">
        <f ca="1">IFERROR(__xludf.DUMMYFUNCTION("""COMPUTED_VALUE"""),"https://scholar.google.com.br/citations?hl=pt-BR&amp;view_op=list_hcore&amp;venue=pEYfHFCSslcJ.2018")</f>
        <v>https://scholar.google.com.br/citations?hl=pt-BR&amp;view_op=list_hcore&amp;venue=pEYfHFCSslcJ.2018</v>
      </c>
      <c r="F55" s="42"/>
      <c r="G55" s="42"/>
      <c r="H55" s="42"/>
      <c r="I55" s="42"/>
      <c r="J55" s="42"/>
    </row>
    <row r="56" spans="1:10" ht="25.5" customHeight="1">
      <c r="A56" s="94" t="str">
        <f ca="1">IFERROR(__xludf.DUMMYFUNCTION("""COMPUTED_VALUE"""),"Eventos da Área")</f>
        <v>Eventos da Área</v>
      </c>
      <c r="B56" s="57" t="str">
        <f ca="1">IFERROR(__xludf.DUMMYFUNCTION("""COMPUTED_VALUE"""),"ICEGOV")</f>
        <v>ICEGOV</v>
      </c>
      <c r="C56" s="57" t="str">
        <f ca="1">IFERROR(__xludf.DUMMYFUNCTION("""COMPUTED_VALUE"""),"International Conference on Theory and Practice of Eletronic Governance")</f>
        <v>International Conference on Theory and Practice of Eletronic Governance</v>
      </c>
      <c r="D56" s="57">
        <f ca="1">IFERROR(__xludf.DUMMYFUNCTION("""COMPUTED_VALUE"""),12)</f>
        <v>12</v>
      </c>
      <c r="E56" s="57" t="str">
        <f ca="1">IFERROR(__xludf.DUMMYFUNCTION("""COMPUTED_VALUE"""),"https://scholar.google.com.br/citations?hl=pt-BR&amp;view_op=list_hcore&amp;venue=CvhnNEBhA8sJ.2018")</f>
        <v>https://scholar.google.com.br/citations?hl=pt-BR&amp;view_op=list_hcore&amp;venue=CvhnNEBhA8sJ.2018</v>
      </c>
      <c r="F56" s="42"/>
      <c r="G56" s="42"/>
      <c r="H56" s="42"/>
      <c r="I56" s="42"/>
      <c r="J56" s="42"/>
    </row>
    <row r="57" spans="1:10" ht="25.5" customHeight="1">
      <c r="A57" s="94" t="str">
        <f ca="1">IFERROR(__xludf.DUMMYFUNCTION("""COMPUTED_VALUE"""),"Eventos da Área")</f>
        <v>Eventos da Área</v>
      </c>
      <c r="B57" s="57" t="str">
        <f ca="1">IFERROR(__xludf.DUMMYFUNCTION("""COMPUTED_VALUE"""),"INTECH")</f>
        <v>INTECH</v>
      </c>
      <c r="C57" s="57" t="str">
        <f ca="1">IFERROR(__xludf.DUMMYFUNCTION("""COMPUTED_VALUE"""),"International Conference on Innovative Computing Technology")</f>
        <v>International Conference on Innovative Computing Technology</v>
      </c>
      <c r="D57" s="57">
        <f ca="1">IFERROR(__xludf.DUMMYFUNCTION("""COMPUTED_VALUE"""),12)</f>
        <v>12</v>
      </c>
      <c r="E57" s="57" t="str">
        <f ca="1">IFERROR(__xludf.DUMMYFUNCTION("""COMPUTED_VALUE"""),"https://scholar.google.com.br/citations?hl=pt-BR&amp;view_op=list_hcore&amp;venue=mkkGwB_8LU8J.2018")</f>
        <v>https://scholar.google.com.br/citations?hl=pt-BR&amp;view_op=list_hcore&amp;venue=mkkGwB_8LU8J.2018</v>
      </c>
      <c r="F57" s="42"/>
      <c r="G57" s="42"/>
      <c r="H57" s="42"/>
      <c r="I57" s="42"/>
      <c r="J57" s="42"/>
    </row>
    <row r="58" spans="1:10" ht="25.5" customHeight="1">
      <c r="A58" s="94" t="str">
        <f ca="1">IFERROR(__xludf.DUMMYFUNCTION("""COMPUTED_VALUE"""),"Eventos da Área")</f>
        <v>Eventos da Área</v>
      </c>
      <c r="B58" s="57" t="str">
        <f ca="1">IFERROR(__xludf.DUMMYFUNCTION("""COMPUTED_VALUE"""),"ICSOB")</f>
        <v>ICSOB</v>
      </c>
      <c r="C58" s="57" t="str">
        <f ca="1">IFERROR(__xludf.DUMMYFUNCTION("""COMPUTED_VALUE"""),"International Conference on Software Business")</f>
        <v>International Conference on Software Business</v>
      </c>
      <c r="D58" s="57">
        <f ca="1">IFERROR(__xludf.DUMMYFUNCTION("""COMPUTED_VALUE"""),12)</f>
        <v>12</v>
      </c>
      <c r="E58" s="57" t="str">
        <f ca="1">IFERROR(__xludf.DUMMYFUNCTION("""COMPUTED_VALUE"""),"https://scholar.google.com.br/citations?hl=pt-BR&amp;view_op=list_hcore&amp;venue=lySJ7rWrE4EJ.2018")</f>
        <v>https://scholar.google.com.br/citations?hl=pt-BR&amp;view_op=list_hcore&amp;venue=lySJ7rWrE4EJ.2018</v>
      </c>
      <c r="F58" s="42"/>
      <c r="G58" s="42"/>
      <c r="H58" s="42"/>
      <c r="I58" s="42"/>
      <c r="J58" s="42"/>
    </row>
    <row r="59" spans="1:10" ht="25.5" customHeight="1">
      <c r="A59" s="94" t="str">
        <f ca="1">IFERROR(__xludf.DUMMYFUNCTION("""COMPUTED_VALUE"""),"Eventos da Área")</f>
        <v>Eventos da Área</v>
      </c>
      <c r="B59" s="57" t="str">
        <f ca="1">IFERROR(__xludf.DUMMYFUNCTION("""COMPUTED_VALUE"""),"IPMU")</f>
        <v>IPMU</v>
      </c>
      <c r="C59" s="57" t="str">
        <f ca="1">IFERROR(__xludf.DUMMYFUNCTION("""COMPUTED_VALUE"""),"International Conference on Information Processing and Management of Uncertainty in Knowledge-Based Systems")</f>
        <v>International Conference on Information Processing and Management of Uncertainty in Knowledge-Based Systems</v>
      </c>
      <c r="D59" s="57">
        <f ca="1">IFERROR(__xludf.DUMMYFUNCTION("""COMPUTED_VALUE"""),11)</f>
        <v>11</v>
      </c>
      <c r="E59" s="57" t="str">
        <f ca="1">IFERROR(__xludf.DUMMYFUNCTION("""COMPUTED_VALUE"""),"https://scholar.google.com.br/citations?hl=pt-BR&amp;view_op=list_hcore&amp;venue=DxTMQsOcxf0J.2018")</f>
        <v>https://scholar.google.com.br/citations?hl=pt-BR&amp;view_op=list_hcore&amp;venue=DxTMQsOcxf0J.2018</v>
      </c>
      <c r="F59" s="42"/>
      <c r="G59" s="42"/>
      <c r="H59" s="42"/>
      <c r="I59" s="42"/>
      <c r="J59" s="42"/>
    </row>
    <row r="60" spans="1:10" ht="25.5" customHeight="1">
      <c r="A60" s="94" t="str">
        <f ca="1">IFERROR(__xludf.DUMMYFUNCTION("""COMPUTED_VALUE"""),"Eventos da Área")</f>
        <v>Eventos da Área</v>
      </c>
      <c r="B60" s="57" t="str">
        <f ca="1">IFERROR(__xludf.DUMMYFUNCTION("""COMPUTED_VALUE"""),"PoEM")</f>
        <v>PoEM</v>
      </c>
      <c r="C60" s="57" t="str">
        <f ca="1">IFERROR(__xludf.DUMMYFUNCTION("""COMPUTED_VALUE"""),"IFIP WG 8.1 Working Conference on the Practice of Enterprise Modelling")</f>
        <v>IFIP WG 8.1 Working Conference on the Practice of Enterprise Modelling</v>
      </c>
      <c r="D60" s="57">
        <f ca="1">IFERROR(__xludf.DUMMYFUNCTION("""COMPUTED_VALUE"""),11)</f>
        <v>11</v>
      </c>
      <c r="E60" s="57" t="str">
        <f ca="1">IFERROR(__xludf.DUMMYFUNCTION("""COMPUTED_VALUE"""),"https://scholar.google.com.br/citations?hl=pt-BR&amp;view_op=list_hcore&amp;venue=e5pHNeuFGzEJ.2018")</f>
        <v>https://scholar.google.com.br/citations?hl=pt-BR&amp;view_op=list_hcore&amp;venue=e5pHNeuFGzEJ.2018</v>
      </c>
      <c r="F60" s="42"/>
      <c r="G60" s="42"/>
      <c r="H60" s="42"/>
      <c r="I60" s="42"/>
      <c r="J60" s="42"/>
    </row>
    <row r="61" spans="1:10" ht="25.5" customHeight="1">
      <c r="A61" s="94" t="str">
        <f ca="1">IFERROR(__xludf.DUMMYFUNCTION("""COMPUTED_VALUE"""),"Eventos da Área")</f>
        <v>Eventos da Área</v>
      </c>
      <c r="B61" s="57" t="str">
        <f ca="1">IFERROR(__xludf.DUMMYFUNCTION("""COMPUTED_VALUE"""),"CITS")</f>
        <v>CITS</v>
      </c>
      <c r="C61" s="57" t="str">
        <f ca="1">IFERROR(__xludf.DUMMYFUNCTION("""COMPUTED_VALUE"""),"International Conference on Computer, Information, and Telecommunication Systems")</f>
        <v>International Conference on Computer, Information, and Telecommunication Systems</v>
      </c>
      <c r="D61" s="57">
        <f ca="1">IFERROR(__xludf.DUMMYFUNCTION("""COMPUTED_VALUE"""),11)</f>
        <v>11</v>
      </c>
      <c r="E61" s="57" t="str">
        <f ca="1">IFERROR(__xludf.DUMMYFUNCTION("""COMPUTED_VALUE"""),"https://scholar.google.com.br/citations?hl=pt-BR&amp;view_op=list_hcore&amp;venue=FdZkG8N8jboJ.2019")</f>
        <v>https://scholar.google.com.br/citations?hl=pt-BR&amp;view_op=list_hcore&amp;venue=FdZkG8N8jboJ.2019</v>
      </c>
      <c r="F61" s="42"/>
      <c r="G61" s="42"/>
      <c r="H61" s="42"/>
      <c r="I61" s="42"/>
      <c r="J61" s="42"/>
    </row>
    <row r="62" spans="1:10" ht="25.5" customHeight="1">
      <c r="A62" s="94" t="str">
        <f ca="1">IFERROR(__xludf.DUMMYFUNCTION("""COMPUTED_VALUE"""),"Eventos da Área")</f>
        <v>Eventos da Área</v>
      </c>
      <c r="B62" s="57" t="str">
        <f ca="1">IFERROR(__xludf.DUMMYFUNCTION("""COMPUTED_VALUE"""),"ICDIM")</f>
        <v>ICDIM</v>
      </c>
      <c r="C62" s="57" t="str">
        <f ca="1">IFERROR(__xludf.DUMMYFUNCTION("""COMPUTED_VALUE"""),"International Conference on Digital Information Management")</f>
        <v>International Conference on Digital Information Management</v>
      </c>
      <c r="D62" s="57">
        <f ca="1">IFERROR(__xludf.DUMMYFUNCTION("""COMPUTED_VALUE"""),10)</f>
        <v>10</v>
      </c>
      <c r="E62" s="57" t="str">
        <f ca="1">IFERROR(__xludf.DUMMYFUNCTION("""COMPUTED_VALUE"""),"https://scholar.google.com.br/citations?hl=pt-BR&amp;view_op=list_hcore&amp;venue=ZUebrDHNH9sJ.2018")</f>
        <v>https://scholar.google.com.br/citations?hl=pt-BR&amp;view_op=list_hcore&amp;venue=ZUebrDHNH9sJ.2018</v>
      </c>
      <c r="F62" s="42"/>
      <c r="G62" s="42"/>
      <c r="H62" s="42"/>
      <c r="I62" s="42"/>
      <c r="J62" s="42"/>
    </row>
    <row r="63" spans="1:10" ht="25.5" customHeight="1">
      <c r="A63" s="94" t="str">
        <f ca="1">IFERROR(__xludf.DUMMYFUNCTION("""COMPUTED_VALUE"""),"Eventos da Área")</f>
        <v>Eventos da Área</v>
      </c>
      <c r="B63" s="57" t="str">
        <f ca="1">IFERROR(__xludf.DUMMYFUNCTION("""COMPUTED_VALUE"""),"JURIX")</f>
        <v>JURIX</v>
      </c>
      <c r="C63" s="57" t="str">
        <f ca="1">IFERROR(__xludf.DUMMYFUNCTION("""COMPUTED_VALUE"""),"International Conference on Legal Knowledge and Information Systems")</f>
        <v>International Conference on Legal Knowledge and Information Systems</v>
      </c>
      <c r="D63" s="57">
        <f ca="1">IFERROR(__xludf.DUMMYFUNCTION("""COMPUTED_VALUE"""),10)</f>
        <v>10</v>
      </c>
      <c r="E63" s="57" t="str">
        <f ca="1">IFERROR(__xludf.DUMMYFUNCTION("""COMPUTED_VALUE"""),"https://scholar.google.com.br/citations?hl=pt-BR&amp;view_op=list_hcore&amp;venue=hTnzOl0B1DQJ.2018")</f>
        <v>https://scholar.google.com.br/citations?hl=pt-BR&amp;view_op=list_hcore&amp;venue=hTnzOl0B1DQJ.2018</v>
      </c>
      <c r="F63" s="42"/>
      <c r="G63" s="42"/>
      <c r="H63" s="42"/>
      <c r="I63" s="42"/>
      <c r="J63" s="42"/>
    </row>
    <row r="64" spans="1:10" ht="25.5" customHeight="1">
      <c r="A64" s="94" t="str">
        <f ca="1">IFERROR(__xludf.DUMMYFUNCTION("""COMPUTED_VALUE"""),"Eventos da Área")</f>
        <v>Eventos da Área</v>
      </c>
      <c r="B64" s="57" t="str">
        <f ca="1">IFERROR(__xludf.DUMMYFUNCTION("""COMPUTED_VALUE"""),"CLEI")</f>
        <v>CLEI</v>
      </c>
      <c r="C64" s="57" t="str">
        <f ca="1">IFERROR(__xludf.DUMMYFUNCTION("""COMPUTED_VALUE"""),"Conferencia Latinoamericana de Informática / Conferencia Latinoamericana En Informatica")</f>
        <v>Conferencia Latinoamericana de Informática / Conferencia Latinoamericana En Informatica</v>
      </c>
      <c r="D64" s="57">
        <f ca="1">IFERROR(__xludf.DUMMYFUNCTION("""COMPUTED_VALUE"""),9)</f>
        <v>9</v>
      </c>
      <c r="E64" s="57" t="str">
        <f ca="1">IFERROR(__xludf.DUMMYFUNCTION("""COMPUTED_VALUE"""),"https://scholar.google.com.br/citations?hl=pt-BR&amp;view_op=list_hcore&amp;venue=ThEGj_a76ZUJ.2018")</f>
        <v>https://scholar.google.com.br/citations?hl=pt-BR&amp;view_op=list_hcore&amp;venue=ThEGj_a76ZUJ.2018</v>
      </c>
      <c r="F64" s="42"/>
      <c r="G64" s="42"/>
      <c r="H64" s="42"/>
      <c r="I64" s="42"/>
      <c r="J64" s="42"/>
    </row>
    <row r="65" spans="1:10" ht="25.5" customHeight="1">
      <c r="A65" s="94" t="str">
        <f ca="1">IFERROR(__xludf.DUMMYFUNCTION("""COMPUTED_VALUE"""),"Eventos da Área")</f>
        <v>Eventos da Área</v>
      </c>
      <c r="B65" s="57" t="str">
        <f ca="1">IFERROR(__xludf.DUMMYFUNCTION("""COMPUTED_VALUE"""),"IHC")</f>
        <v>IHC</v>
      </c>
      <c r="C65" s="57" t="str">
        <f ca="1">IFERROR(__xludf.DUMMYFUNCTION("""COMPUTED_VALUE"""),"Simpósio Brasileiro sobre Fatores Humanos em Sistemas Computacionais")</f>
        <v>Simpósio Brasileiro sobre Fatores Humanos em Sistemas Computacionais</v>
      </c>
      <c r="D65" s="57">
        <f ca="1">IFERROR(__xludf.DUMMYFUNCTION("""COMPUTED_VALUE"""),9)</f>
        <v>9</v>
      </c>
      <c r="E65" s="57" t="str">
        <f ca="1">IFERROR(__xludf.DUMMYFUNCTION("""COMPUTED_VALUE"""),"https://scholar.google.com.br/citations?hl=pt-BR&amp;view_op=list_hcore&amp;venue=YC7yoNYrtdAJ.2019")</f>
        <v>https://scholar.google.com.br/citations?hl=pt-BR&amp;view_op=list_hcore&amp;venue=YC7yoNYrtdAJ.2019</v>
      </c>
      <c r="F65" s="42"/>
      <c r="G65" s="42"/>
      <c r="H65" s="42"/>
      <c r="I65" s="42"/>
      <c r="J65" s="42"/>
    </row>
    <row r="66" spans="1:10" ht="25.5" customHeight="1">
      <c r="A66" s="94" t="str">
        <f ca="1">IFERROR(__xludf.DUMMYFUNCTION("""COMPUTED_VALUE"""),"Eventos da Área")</f>
        <v>Eventos da Área</v>
      </c>
      <c r="B66" s="45" t="str">
        <f ca="1">IFERROR(__xludf.DUMMYFUNCTION("""COMPUTED_VALUE"""),"DH")</f>
        <v>DH</v>
      </c>
      <c r="C66" s="57" t="str">
        <f ca="1">IFERROR(__xludf.DUMMYFUNCTION("""COMPUTED_VALUE"""),"Digital Heritage International Congress (DigitalHeritage)")</f>
        <v>Digital Heritage International Congress (DigitalHeritage)</v>
      </c>
      <c r="D66" s="57">
        <f ca="1">IFERROR(__xludf.DUMMYFUNCTION("""COMPUTED_VALUE"""),9)</f>
        <v>9</v>
      </c>
      <c r="E66" s="57" t="str">
        <f ca="1">IFERROR(__xludf.DUMMYFUNCTION("""COMPUTED_VALUE"""),"https://scholar.google.com.br/citations?hl=pt-BR&amp;view_op=list_hcore&amp;venue=7uNBCFVqIJ0J.2019")</f>
        <v>https://scholar.google.com.br/citations?hl=pt-BR&amp;view_op=list_hcore&amp;venue=7uNBCFVqIJ0J.2019</v>
      </c>
      <c r="F66" s="42"/>
      <c r="G66" s="42"/>
      <c r="H66" s="42"/>
      <c r="I66" s="42"/>
      <c r="J66" s="42"/>
    </row>
    <row r="67" spans="1:10" ht="25.5" customHeight="1">
      <c r="A67" s="94" t="str">
        <f ca="1">IFERROR(__xludf.DUMMYFUNCTION("""COMPUTED_VALUE"""),"Eventos da Área")</f>
        <v>Eventos da Área</v>
      </c>
      <c r="B67" s="57" t="str">
        <f ca="1">IFERROR(__xludf.DUMMYFUNCTION("""COMPUTED_VALUE"""),"ISCIS")</f>
        <v>ISCIS</v>
      </c>
      <c r="C67" s="57" t="str">
        <f ca="1">IFERROR(__xludf.DUMMYFUNCTION("""COMPUTED_VALUE"""),"International Symposium on Computer and Information Sciences")</f>
        <v>International Symposium on Computer and Information Sciences</v>
      </c>
      <c r="D67" s="57">
        <f ca="1">IFERROR(__xludf.DUMMYFUNCTION("""COMPUTED_VALUE"""),9)</f>
        <v>9</v>
      </c>
      <c r="E67" s="57" t="str">
        <f ca="1">IFERROR(__xludf.DUMMYFUNCTION("""COMPUTED_VALUE"""),"https://scholar.google.com.br/citations?hl=pt-BR&amp;view_op=list_hcore&amp;venue=cMBBSwoVSQ8J.2019")</f>
        <v>https://scholar.google.com.br/citations?hl=pt-BR&amp;view_op=list_hcore&amp;venue=cMBBSwoVSQ8J.2019</v>
      </c>
      <c r="F67" s="42"/>
      <c r="G67" s="42"/>
      <c r="H67" s="42"/>
      <c r="I67" s="42"/>
      <c r="J67" s="42"/>
    </row>
    <row r="68" spans="1:10" ht="25.5" customHeight="1">
      <c r="A68" s="94" t="str">
        <f ca="1">IFERROR(__xludf.DUMMYFUNCTION("""COMPUTED_VALUE"""),"Eventos da Área")</f>
        <v>Eventos da Área</v>
      </c>
      <c r="B68" s="57"/>
      <c r="C68" s="57" t="str">
        <f ca="1">IFERROR(__xludf.DUMMYFUNCTION("""COMPUTED_VALUE"""),"International Conference on the Computational Processing of Portuguese")</f>
        <v>International Conference on the Computational Processing of Portuguese</v>
      </c>
      <c r="D68" s="57">
        <f ca="1">IFERROR(__xludf.DUMMYFUNCTION("""COMPUTED_VALUE"""),9)</f>
        <v>9</v>
      </c>
      <c r="E68" s="57" t="str">
        <f ca="1">IFERROR(__xludf.DUMMYFUNCTION("""COMPUTED_VALUE"""),"https://scholar.google.com.br/citations?hl=pt-BR&amp;view_op=list_hcore&amp;venue=8aBtgrGnL1MJ.2019")</f>
        <v>https://scholar.google.com.br/citations?hl=pt-BR&amp;view_op=list_hcore&amp;venue=8aBtgrGnL1MJ.2019</v>
      </c>
      <c r="F68" s="42"/>
      <c r="G68" s="42"/>
      <c r="H68" s="42"/>
      <c r="I68" s="42"/>
      <c r="J68" s="42"/>
    </row>
    <row r="69" spans="1:10" ht="25.5" customHeight="1">
      <c r="A69" s="94" t="str">
        <f ca="1">IFERROR(__xludf.DUMMYFUNCTION("""COMPUTED_VALUE"""),"Eventos da Área")</f>
        <v>Eventos da Área</v>
      </c>
      <c r="B69" s="57" t="str">
        <f ca="1">IFERROR(__xludf.DUMMYFUNCTION("""COMPUTED_VALUE"""),"CIT")</f>
        <v>CIT</v>
      </c>
      <c r="C69" s="57" t="str">
        <f ca="1">IFERROR(__xludf.DUMMYFUNCTION("""COMPUTED_VALUE"""),"IEEE International Conference on Computer and Information Technology")</f>
        <v>IEEE International Conference on Computer and Information Technology</v>
      </c>
      <c r="D69" s="57">
        <f ca="1">IFERROR(__xludf.DUMMYFUNCTION("""COMPUTED_VALUE"""),8)</f>
        <v>8</v>
      </c>
      <c r="E69" s="57" t="str">
        <f ca="1">IFERROR(__xludf.DUMMYFUNCTION("""COMPUTED_VALUE"""),"https://scholar.google.com.br/citations?hl=pt-BR&amp;view_op=list_hcore&amp;venue=pKdqGpOOIq0J.2018")</f>
        <v>https://scholar.google.com.br/citations?hl=pt-BR&amp;view_op=list_hcore&amp;venue=pKdqGpOOIq0J.2018</v>
      </c>
      <c r="F69" s="42"/>
      <c r="G69" s="42"/>
      <c r="H69" s="42"/>
      <c r="I69" s="42"/>
      <c r="J69" s="42"/>
    </row>
    <row r="70" spans="1:10" ht="25.5" customHeight="1">
      <c r="A70" s="94" t="str">
        <f ca="1">IFERROR(__xludf.DUMMYFUNCTION("""COMPUTED_VALUE"""),"Eventos da Área")</f>
        <v>Eventos da Área</v>
      </c>
      <c r="B70" s="57" t="str">
        <f ca="1">IFERROR(__xludf.DUMMYFUNCTION("""COMPUTED_VALUE"""),"AICT")</f>
        <v>AICT</v>
      </c>
      <c r="C70" s="57" t="str">
        <f ca="1">IFERROR(__xludf.DUMMYFUNCTION("""COMPUTED_VALUE"""),"International Conference on Application of Information and Communication Technologies")</f>
        <v>International Conference on Application of Information and Communication Technologies</v>
      </c>
      <c r="D70" s="57">
        <f ca="1">IFERROR(__xludf.DUMMYFUNCTION("""COMPUTED_VALUE"""),8)</f>
        <v>8</v>
      </c>
      <c r="E70" s="57" t="str">
        <f ca="1">IFERROR(__xludf.DUMMYFUNCTION("""COMPUTED_VALUE"""),"https://scholar.google.com.br/citations?hl=pt-BR&amp;view_op=list_hcore&amp;venue=kwOZ7j8uP1wJ.2018")</f>
        <v>https://scholar.google.com.br/citations?hl=pt-BR&amp;view_op=list_hcore&amp;venue=kwOZ7j8uP1wJ.2018</v>
      </c>
      <c r="F70" s="42"/>
      <c r="G70" s="42"/>
      <c r="H70" s="42"/>
      <c r="I70" s="42"/>
      <c r="J70" s="42"/>
    </row>
    <row r="71" spans="1:10" ht="25.5" customHeight="1">
      <c r="A71" s="94" t="str">
        <f ca="1">IFERROR(__xludf.DUMMYFUNCTION("""COMPUTED_VALUE"""),"Eventos da Área")</f>
        <v>Eventos da Área</v>
      </c>
      <c r="B71" s="57" t="str">
        <f ca="1">IFERROR(__xludf.DUMMYFUNCTION("""COMPUTED_VALUE"""),"EATIS")</f>
        <v>EATIS</v>
      </c>
      <c r="C71" s="57" t="str">
        <f ca="1">IFERROR(__xludf.DUMMYFUNCTION("""COMPUTED_VALUE"""),"Euro American Conference on Telematics and Information Systems")</f>
        <v>Euro American Conference on Telematics and Information Systems</v>
      </c>
      <c r="D71" s="57">
        <f ca="1">IFERROR(__xludf.DUMMYFUNCTION("""COMPUTED_VALUE"""),7)</f>
        <v>7</v>
      </c>
      <c r="E71" s="57" t="str">
        <f ca="1">IFERROR(__xludf.DUMMYFUNCTION("""COMPUTED_VALUE"""),"https://scholar.google.com.br/citations?hl=pt-BR&amp;view_op=list_hcore&amp;venue=as1viggupKQJ.2018")</f>
        <v>https://scholar.google.com.br/citations?hl=pt-BR&amp;view_op=list_hcore&amp;venue=as1viggupKQJ.2018</v>
      </c>
      <c r="F71" s="42"/>
      <c r="G71" s="42"/>
      <c r="H71" s="42"/>
      <c r="I71" s="42"/>
      <c r="J71" s="42"/>
    </row>
    <row r="72" spans="1:10" ht="25.5" customHeight="1">
      <c r="A72" s="94" t="str">
        <f ca="1">IFERROR(__xludf.DUMMYFUNCTION("""COMPUTED_VALUE"""),"Eventos da Área")</f>
        <v>Eventos da Área</v>
      </c>
      <c r="B72" s="57" t="str">
        <f ca="1">IFERROR(__xludf.DUMMYFUNCTION("""COMPUTED_VALUE"""),"KMO")</f>
        <v>KMO</v>
      </c>
      <c r="C72" s="57" t="str">
        <f ca="1">IFERROR(__xludf.DUMMYFUNCTION("""COMPUTED_VALUE"""),"International Conference on Knowledge Management in Organizations")</f>
        <v>International Conference on Knowledge Management in Organizations</v>
      </c>
      <c r="D72" s="57">
        <f ca="1">IFERROR(__xludf.DUMMYFUNCTION("""COMPUTED_VALUE"""),7)</f>
        <v>7</v>
      </c>
      <c r="E72" s="57" t="str">
        <f ca="1">IFERROR(__xludf.DUMMYFUNCTION("""COMPUTED_VALUE"""),"https://scholar.google.com.br/citations?hl=pt-BR&amp;view_op=list_hcore&amp;venue=-yAq_nHfnI0J.2018")</f>
        <v>https://scholar.google.com.br/citations?hl=pt-BR&amp;view_op=list_hcore&amp;venue=-yAq_nHfnI0J.2018</v>
      </c>
      <c r="F72" s="42"/>
      <c r="G72" s="42"/>
      <c r="H72" s="42"/>
      <c r="I72" s="42"/>
      <c r="J72" s="42"/>
    </row>
    <row r="73" spans="1:10" ht="25.5" customHeight="1">
      <c r="A73" s="94" t="str">
        <f ca="1">IFERROR(__xludf.DUMMYFUNCTION("""COMPUTED_VALUE"""),"Eventos da Área")</f>
        <v>Eventos da Área</v>
      </c>
      <c r="B73" s="57" t="str">
        <f ca="1">IFERROR(__xludf.DUMMYFUNCTION("""COMPUTED_VALUE"""),"ICISO")</f>
        <v>ICISO</v>
      </c>
      <c r="C73" s="57" t="str">
        <f ca="1">IFERROR(__xludf.DUMMYFUNCTION("""COMPUTED_VALUE"""),"International Conference on Informatics and Semiotics in Organisations")</f>
        <v>International Conference on Informatics and Semiotics in Organisations</v>
      </c>
      <c r="D73" s="57">
        <f ca="1">IFERROR(__xludf.DUMMYFUNCTION("""COMPUTED_VALUE"""),7)</f>
        <v>7</v>
      </c>
      <c r="E73" s="57" t="str">
        <f ca="1">IFERROR(__xludf.DUMMYFUNCTION("""COMPUTED_VALUE"""),"https://scholar.google.com.br/citations?hl=pt-BR&amp;view_op=list_hcore&amp;venue=seJ96jN95xkJ.2019")</f>
        <v>https://scholar.google.com.br/citations?hl=pt-BR&amp;view_op=list_hcore&amp;venue=seJ96jN95xkJ.2019</v>
      </c>
      <c r="F73" s="42"/>
      <c r="G73" s="42"/>
      <c r="H73" s="42"/>
      <c r="I73" s="42"/>
      <c r="J73" s="42"/>
    </row>
    <row r="74" spans="1:10" ht="25.5" customHeight="1">
      <c r="A74" s="94" t="str">
        <f ca="1">IFERROR(__xludf.DUMMYFUNCTION("""COMPUTED_VALUE"""),"Eventos da Área")</f>
        <v>Eventos da Área</v>
      </c>
      <c r="B74" s="57" t="str">
        <f ca="1">IFERROR(__xludf.DUMMYFUNCTION("""COMPUTED_VALUE"""),"EEEWC")</f>
        <v>EEEWC</v>
      </c>
      <c r="C74" s="57" t="str">
        <f ca="1">IFERROR(__xludf.DUMMYFUNCTION("""COMPUTED_VALUE"""),"International Conference on e-Learning, e-Business, Enterprise Information Systems, and e-Government")</f>
        <v>International Conference on e-Learning, e-Business, Enterprise Information Systems, and e-Government</v>
      </c>
      <c r="D74" s="57">
        <f ca="1">IFERROR(__xludf.DUMMYFUNCTION("""COMPUTED_VALUE"""),5)</f>
        <v>5</v>
      </c>
      <c r="E74" s="57" t="str">
        <f ca="1">IFERROR(__xludf.DUMMYFUNCTION("""COMPUTED_VALUE"""),"https://scholar.google.com.br/citations?hl=pt-BR&amp;view_op=list_hcore&amp;venue=At2mYNztZhYJ.2019")</f>
        <v>https://scholar.google.com.br/citations?hl=pt-BR&amp;view_op=list_hcore&amp;venue=At2mYNztZhYJ.2019</v>
      </c>
      <c r="F74" s="42"/>
      <c r="G74" s="42"/>
      <c r="H74" s="42"/>
      <c r="I74" s="42"/>
      <c r="J74" s="42"/>
    </row>
    <row r="75" spans="1:10" ht="25.5" customHeight="1">
      <c r="A75" s="94" t="str">
        <f ca="1">IFERROR(__xludf.DUMMYFUNCTION("""COMPUTED_VALUE"""),"Eventos da Área")</f>
        <v>Eventos da Área</v>
      </c>
      <c r="B75" s="57" t="str">
        <f ca="1">IFERROR(__xludf.DUMMYFUNCTION("""COMPUTED_VALUE"""),"INDUSCON")</f>
        <v>INDUSCON</v>
      </c>
      <c r="C75" s="57" t="str">
        <f ca="1">IFERROR(__xludf.DUMMYFUNCTION("""COMPUTED_VALUE"""),"International Conference on Industry Applications")</f>
        <v>International Conference on Industry Applications</v>
      </c>
      <c r="D75" s="45"/>
      <c r="E75" s="57"/>
      <c r="F75" s="42"/>
      <c r="G75" s="42"/>
      <c r="H75" s="42"/>
      <c r="I75" s="42"/>
      <c r="J75" s="42"/>
    </row>
    <row r="76" spans="1:10" ht="25.5" customHeight="1">
      <c r="A76" s="94" t="str">
        <f ca="1">IFERROR(__xludf.DUMMYFUNCTION("""COMPUTED_VALUE"""),"Eventos da Área")</f>
        <v>Eventos da Área</v>
      </c>
      <c r="B76" s="57" t="str">
        <f ca="1">IFERROR(__xludf.DUMMYFUNCTION("""COMPUTED_VALUE"""),"BRASNAM")</f>
        <v>BRASNAM</v>
      </c>
      <c r="C76" s="57" t="str">
        <f ca="1">IFERROR(__xludf.DUMMYFUNCTION("""COMPUTED_VALUE"""),"Brazilian Workshop on Social Network Analysis and Mining")</f>
        <v>Brazilian Workshop on Social Network Analysis and Mining</v>
      </c>
      <c r="D76" s="45"/>
      <c r="E76" s="57"/>
      <c r="F76" s="42"/>
      <c r="G76" s="42"/>
      <c r="H76" s="42"/>
      <c r="I76" s="42"/>
      <c r="J76" s="42"/>
    </row>
    <row r="77" spans="1:10" ht="25.5" customHeight="1">
      <c r="A77" s="94" t="str">
        <f ca="1">IFERROR(__xludf.DUMMYFUNCTION("""COMPUTED_VALUE"""),"Eventos da Área")</f>
        <v>Eventos da Área</v>
      </c>
      <c r="B77" s="57" t="str">
        <f ca="1">IFERROR(__xludf.DUMMYFUNCTION("""COMPUTED_VALUE"""),"SBTI")</f>
        <v>SBTI</v>
      </c>
      <c r="C77" s="57" t="str">
        <f ca="1">IFERROR(__xludf.DUMMYFUNCTION("""COMPUTED_VALUE"""),"Simpósio Brasileiro de Tecnologia da Informação")</f>
        <v>Simpósio Brasileiro de Tecnologia da Informação</v>
      </c>
      <c r="D77" s="45"/>
      <c r="E77" s="57"/>
      <c r="F77" s="42"/>
      <c r="G77" s="42"/>
      <c r="H77" s="42"/>
      <c r="I77" s="42"/>
      <c r="J77" s="42"/>
    </row>
    <row r="78" spans="1:10" ht="25.5" customHeight="1">
      <c r="A78" s="94" t="str">
        <f ca="1">IFERROR(__xludf.DUMMYFUNCTION("""COMPUTED_VALUE"""),"Eventos da Área")</f>
        <v>Eventos da Área</v>
      </c>
      <c r="B78" s="57" t="str">
        <f ca="1">IFERROR(__xludf.DUMMYFUNCTION("""COMPUTED_VALUE"""),"BPMS2")</f>
        <v>BPMS2</v>
      </c>
      <c r="C78" s="57" t="str">
        <f ca="1">IFERROR(__xludf.DUMMYFUNCTION("""COMPUTED_VALUE"""),"Workshop on Social and Human Aspects of Business Process Management")</f>
        <v>Workshop on Social and Human Aspects of Business Process Management</v>
      </c>
      <c r="D78" s="45"/>
      <c r="E78" s="57"/>
      <c r="F78" s="42"/>
      <c r="G78" s="42"/>
      <c r="H78" s="42"/>
      <c r="I78" s="42"/>
      <c r="J78" s="42"/>
    </row>
    <row r="79" spans="1:10" ht="25.5" customHeight="1">
      <c r="A79" s="94" t="str">
        <f ca="1">IFERROR(__xludf.DUMMYFUNCTION("""COMPUTED_VALUE"""),"Eventos da Área")</f>
        <v>Eventos da Área</v>
      </c>
      <c r="B79" s="57" t="str">
        <f ca="1">IFERROR(__xludf.DUMMYFUNCTION("""COMPUTED_VALUE"""),"COGNISE")</f>
        <v>COGNISE</v>
      </c>
      <c r="C79" s="57" t="str">
        <f ca="1">IFERROR(__xludf.DUMMYFUNCTION("""COMPUTED_VALUE"""),"International Workshop on Cognitive Aspects of Information Systems Engineering")</f>
        <v>International Workshop on Cognitive Aspects of Information Systems Engineering</v>
      </c>
      <c r="D79" s="45"/>
      <c r="E79" s="57"/>
      <c r="F79" s="42"/>
      <c r="G79" s="42"/>
      <c r="H79" s="42"/>
      <c r="I79" s="42"/>
      <c r="J79" s="42"/>
    </row>
    <row r="80" spans="1:10" ht="25.5" customHeight="1">
      <c r="A80" s="94" t="str">
        <f ca="1">IFERROR(__xludf.DUMMYFUNCTION("""COMPUTED_VALUE"""),"Eventos da Área")</f>
        <v>Eventos da Área</v>
      </c>
      <c r="B80" s="57" t="str">
        <f ca="1">IFERROR(__xludf.DUMMYFUNCTION("""COMPUTED_VALUE"""),"SCCTSA")</f>
        <v>SCCTSA</v>
      </c>
      <c r="C80" s="57" t="str">
        <f ca="1">IFERROR(__xludf.DUMMYFUNCTION("""COMPUTED_VALUE"""),"International Workshop on Smart City Clouds: Technologies, Systems and Applications")</f>
        <v>International Workshop on Smart City Clouds: Technologies, Systems and Applications</v>
      </c>
      <c r="D80" s="45"/>
      <c r="E80" s="57"/>
      <c r="F80" s="42"/>
      <c r="G80" s="42"/>
      <c r="H80" s="42"/>
      <c r="I80" s="42"/>
      <c r="J80" s="42"/>
    </row>
    <row r="81" spans="1:10" ht="25.5" customHeight="1">
      <c r="A81" s="94" t="str">
        <f ca="1">IFERROR(__xludf.DUMMYFUNCTION("""COMPUTED_VALUE"""),"Eventos da Área")</f>
        <v>Eventos da Área</v>
      </c>
      <c r="B81" s="57" t="str">
        <f ca="1">IFERROR(__xludf.DUMMYFUNCTION("""COMPUTED_VALUE"""),"C4BIE")</f>
        <v>C4BIE</v>
      </c>
      <c r="C81" s="57" t="str">
        <f ca="1">IFERROR(__xludf.DUMMYFUNCTION("""COMPUTED_VALUE"""),"International Workshop on Cloud for Business, Industry and Enterprises")</f>
        <v>International Workshop on Cloud for Business, Industry and Enterprises</v>
      </c>
      <c r="D81" s="45"/>
      <c r="E81" s="57"/>
      <c r="F81" s="42"/>
      <c r="G81" s="42"/>
      <c r="H81" s="42"/>
      <c r="I81" s="42"/>
      <c r="J81" s="42"/>
    </row>
    <row r="82" spans="1:10" ht="25.5" customHeight="1">
      <c r="A82" s="94" t="str">
        <f ca="1">IFERROR(__xludf.DUMMYFUNCTION("""COMPUTED_VALUE"""),"Eventos da Área")</f>
        <v>Eventos da Área</v>
      </c>
      <c r="B82" s="57" t="str">
        <f ca="1">IFERROR(__xludf.DUMMYFUNCTION("""COMPUTED_VALUE"""),"CONTEXT-BPM")</f>
        <v>CONTEXT-BPM</v>
      </c>
      <c r="C82" s="57" t="str">
        <f ca="1">IFERROR(__xludf.DUMMYFUNCTION("""COMPUTED_VALUE"""),"International Workshop on Context for Business Process Management")</f>
        <v>International Workshop on Context for Business Process Management</v>
      </c>
      <c r="D82" s="45"/>
      <c r="E82" s="57"/>
      <c r="F82" s="42"/>
      <c r="G82" s="42"/>
      <c r="H82" s="42"/>
      <c r="I82" s="42"/>
      <c r="J82" s="42"/>
    </row>
    <row r="83" spans="1:10" ht="25.5" customHeight="1">
      <c r="A83" s="94" t="str">
        <f ca="1">IFERROR(__xludf.DUMMYFUNCTION("""COMPUTED_VALUE"""),"Eventos da Área")</f>
        <v>Eventos da Área</v>
      </c>
      <c r="B83" s="57" t="str">
        <f ca="1">IFERROR(__xludf.DUMMYFUNCTION("""COMPUTED_VALUE"""),"WTranS")</f>
        <v>WTranS</v>
      </c>
      <c r="C83" s="57" t="str">
        <f ca="1">IFERROR(__xludf.DUMMYFUNCTION("""COMPUTED_VALUE"""),"Workshop de Transparência de Sistema")</f>
        <v>Workshop de Transparência de Sistema</v>
      </c>
      <c r="D83" s="45"/>
      <c r="E83" s="57"/>
      <c r="F83" s="42"/>
      <c r="G83" s="42"/>
      <c r="H83" s="42"/>
      <c r="I83" s="42"/>
      <c r="J83" s="42"/>
    </row>
    <row r="84" spans="1:10" ht="25.5" customHeight="1">
      <c r="A84" s="94" t="str">
        <f ca="1">IFERROR(__xludf.DUMMYFUNCTION("""COMPUTED_VALUE"""),"Eventos da Área")</f>
        <v>Eventos da Área</v>
      </c>
      <c r="B84" s="57" t="str">
        <f ca="1">IFERROR(__xludf.DUMMYFUNCTION("""COMPUTED_VALUE"""),"EGOVIS")</f>
        <v>EGOVIS</v>
      </c>
      <c r="C84" s="57" t="str">
        <f ca="1">IFERROR(__xludf.DUMMYFUNCTION("""COMPUTED_VALUE"""),"Electronic Government and the Information Systems Perspective")</f>
        <v>Electronic Government and the Information Systems Perspective</v>
      </c>
      <c r="D84" s="45"/>
      <c r="E84" s="57"/>
      <c r="F84" s="42"/>
      <c r="G84" s="42"/>
      <c r="H84" s="42"/>
      <c r="I84" s="42"/>
      <c r="J84" s="42"/>
    </row>
    <row r="85" spans="1:10" ht="25.5" customHeight="1">
      <c r="A85" s="94" t="str">
        <f ca="1">IFERROR(__xludf.DUMMYFUNCTION("""COMPUTED_VALUE"""),"Eventos da Área")</f>
        <v>Eventos da Área</v>
      </c>
      <c r="B85" s="57" t="str">
        <f ca="1">IFERROR(__xludf.DUMMYFUNCTION("""COMPUTED_VALUE"""),"WISM")</f>
        <v>WISM</v>
      </c>
      <c r="C85" s="57" t="str">
        <f ca="1">IFERROR(__xludf.DUMMYFUNCTION("""COMPUTED_VALUE"""),"Workshop on Web Information Systems Modeling")</f>
        <v>Workshop on Web Information Systems Modeling</v>
      </c>
      <c r="D85" s="45"/>
      <c r="E85" s="57"/>
      <c r="F85" s="42"/>
      <c r="G85" s="42"/>
      <c r="H85" s="42"/>
      <c r="I85" s="42"/>
      <c r="J85" s="42"/>
    </row>
    <row r="86" spans="1:10" ht="25.5" customHeight="1">
      <c r="A86" s="94" t="str">
        <f ca="1">IFERROR(__xludf.DUMMYFUNCTION("""COMPUTED_VALUE"""),"Eventos da Área")</f>
        <v>Eventos da Área</v>
      </c>
      <c r="B86" s="57" t="str">
        <f ca="1">IFERROR(__xludf.DUMMYFUNCTION("""COMPUTED_VALUE"""),"COSN")</f>
        <v>COSN</v>
      </c>
      <c r="C86" s="57" t="str">
        <f ca="1">IFERROR(__xludf.DUMMYFUNCTION("""COMPUTED_VALUE"""),"Conference on Online Social Networks")</f>
        <v>Conference on Online Social Networks</v>
      </c>
      <c r="D86" s="45"/>
      <c r="E86" s="57"/>
      <c r="F86" s="42"/>
      <c r="G86" s="42"/>
      <c r="H86" s="42"/>
      <c r="I86" s="42"/>
      <c r="J86" s="42"/>
    </row>
    <row r="87" spans="1:10" ht="25.5" customHeight="1">
      <c r="A87" s="94" t="str">
        <f ca="1">IFERROR(__xludf.DUMMYFUNCTION("""COMPUTED_VALUE"""),"Eventos da Área")</f>
        <v>Eventos da Área</v>
      </c>
      <c r="B87" s="57" t="str">
        <f ca="1">IFERROR(__xludf.DUMMYFUNCTION("""COMPUTED_VALUE"""),"KES")</f>
        <v>KES</v>
      </c>
      <c r="C87" s="57" t="str">
        <f ca="1">IFERROR(__xludf.DUMMYFUNCTION("""COMPUTED_VALUE"""),"International Conference on Knowledge-Based and Intelligent Information &amp; Engineering Systems")</f>
        <v>International Conference on Knowledge-Based and Intelligent Information &amp; Engineering Systems</v>
      </c>
      <c r="D87" s="45"/>
      <c r="E87" s="57"/>
      <c r="F87" s="42"/>
      <c r="G87" s="42"/>
      <c r="H87" s="42"/>
      <c r="I87" s="42"/>
      <c r="J87" s="42"/>
    </row>
    <row r="88" spans="1:10" ht="25.5" customHeight="1">
      <c r="A88" s="94" t="str">
        <f ca="1">IFERROR(__xludf.DUMMYFUNCTION("""COMPUTED_VALUE"""),"Eventos da Área")</f>
        <v>Eventos da Área</v>
      </c>
      <c r="B88" s="57" t="str">
        <f ca="1">IFERROR(__xludf.DUMMYFUNCTION("""COMPUTED_VALUE"""),"KESW")</f>
        <v>KESW</v>
      </c>
      <c r="C88" s="57" t="str">
        <f ca="1">IFERROR(__xludf.DUMMYFUNCTION("""COMPUTED_VALUE"""),"International Conference on Knowledge Engineering and Semantic Web")</f>
        <v>International Conference on Knowledge Engineering and Semantic Web</v>
      </c>
      <c r="D88" s="45"/>
      <c r="E88" s="57"/>
      <c r="F88" s="42"/>
      <c r="G88" s="42"/>
      <c r="H88" s="42"/>
      <c r="I88" s="42"/>
      <c r="J88" s="42"/>
    </row>
    <row r="89" spans="1:10" ht="25.5" customHeight="1">
      <c r="A89" s="94" t="str">
        <f ca="1">IFERROR(__xludf.DUMMYFUNCTION("""COMPUTED_VALUE"""),"Eventos da Área")</f>
        <v>Eventos da Área</v>
      </c>
      <c r="B89" s="57" t="str">
        <f ca="1">IFERROR(__xludf.DUMMYFUNCTION("""COMPUTED_VALUE"""),"WSKS")</f>
        <v>WSKS</v>
      </c>
      <c r="C89" s="57" t="str">
        <f ca="1">IFERROR(__xludf.DUMMYFUNCTION("""COMPUTED_VALUE"""),"World Summit on the Kowledge Society")</f>
        <v>World Summit on the Kowledge Society</v>
      </c>
      <c r="D89" s="45"/>
      <c r="E89" s="57"/>
      <c r="F89" s="42"/>
      <c r="G89" s="42"/>
      <c r="H89" s="42"/>
      <c r="I89" s="42"/>
      <c r="J89" s="42"/>
    </row>
    <row r="90" spans="1:10" ht="25.5" customHeight="1">
      <c r="A90" s="94" t="str">
        <f ca="1">IFERROR(__xludf.DUMMYFUNCTION("""COMPUTED_VALUE"""),"Eventos da Área")</f>
        <v>Eventos da Área</v>
      </c>
      <c r="B90" s="57" t="str">
        <f ca="1">IFERROR(__xludf.DUMMYFUNCTION("""COMPUTED_VALUE"""),"IC3K")</f>
        <v>IC3K</v>
      </c>
      <c r="C90" s="57" t="str">
        <f ca="1">IFERROR(__xludf.DUMMYFUNCTION("""COMPUTED_VALUE"""),"International Joint Conference on Knowledge Discovery, Knowledge Engineering and Knowledge Management")</f>
        <v>International Joint Conference on Knowledge Discovery, Knowledge Engineering and Knowledge Management</v>
      </c>
      <c r="D90" s="45"/>
      <c r="E90" s="57"/>
      <c r="F90" s="42"/>
      <c r="G90" s="42"/>
      <c r="H90" s="42"/>
      <c r="I90" s="42"/>
      <c r="J90" s="42"/>
    </row>
    <row r="91" spans="1:10" ht="25.5" customHeight="1">
      <c r="A91" s="94" t="str">
        <f ca="1">IFERROR(__xludf.DUMMYFUNCTION("""COMPUTED_VALUE"""),"Eventos da Área")</f>
        <v>Eventos da Área</v>
      </c>
      <c r="B91" s="57" t="str">
        <f ca="1">IFERROR(__xludf.DUMMYFUNCTION("""COMPUTED_VALUE"""),"IWSECO")</f>
        <v>IWSECO</v>
      </c>
      <c r="C91" s="57" t="str">
        <f ca="1">IFERROR(__xludf.DUMMYFUNCTION("""COMPUTED_VALUE"""),"International Workshop on Software Ecosystems")</f>
        <v>International Workshop on Software Ecosystems</v>
      </c>
      <c r="D91" s="45"/>
      <c r="E91" s="57"/>
      <c r="F91" s="42"/>
      <c r="G91" s="42"/>
      <c r="H91" s="42"/>
      <c r="I91" s="42"/>
      <c r="J91" s="42"/>
    </row>
    <row r="92" spans="1:10" ht="25.5" customHeight="1">
      <c r="A92" s="94" t="str">
        <f ca="1">IFERROR(__xludf.DUMMYFUNCTION("""COMPUTED_VALUE"""),"Eventos da Área")</f>
        <v>Eventos da Área</v>
      </c>
      <c r="B92" s="57" t="str">
        <f ca="1">IFERROR(__xludf.DUMMYFUNCTION("""COMPUTED_VALUE"""),"PESOS")</f>
        <v>PESOS</v>
      </c>
      <c r="C92" s="57" t="str">
        <f ca="1">IFERROR(__xludf.DUMMYFUNCTION("""COMPUTED_VALUE"""),"International Workshop on Principles of Engineering Service-Oriented and Cloud Systems")</f>
        <v>International Workshop on Principles of Engineering Service-Oriented and Cloud Systems</v>
      </c>
      <c r="D92" s="45"/>
      <c r="E92" s="57"/>
      <c r="F92" s="42"/>
      <c r="G92" s="42"/>
      <c r="H92" s="42"/>
      <c r="I92" s="42"/>
      <c r="J92" s="42"/>
    </row>
    <row r="93" spans="1:10" ht="25.5" customHeight="1">
      <c r="A93" s="94" t="str">
        <f ca="1">IFERROR(__xludf.DUMMYFUNCTION("""COMPUTED_VALUE"""),"Eventos da Área")</f>
        <v>Eventos da Área</v>
      </c>
      <c r="B93" s="57" t="str">
        <f ca="1">IFERROR(__xludf.DUMMYFUNCTION("""COMPUTED_VALUE"""),"SNAA")</f>
        <v>SNAA</v>
      </c>
      <c r="C93" s="57" t="str">
        <f ca="1">IFERROR(__xludf.DUMMYFUNCTION("""COMPUTED_VALUE"""),"Workshop on Social Network Analysis in Applications")</f>
        <v>Workshop on Social Network Analysis in Applications</v>
      </c>
      <c r="D93" s="45"/>
      <c r="E93" s="57"/>
      <c r="F93" s="42"/>
      <c r="G93" s="42"/>
      <c r="H93" s="42"/>
      <c r="I93" s="42"/>
      <c r="J93" s="42"/>
    </row>
    <row r="94" spans="1:10" ht="25.5" customHeight="1">
      <c r="A94" s="94" t="str">
        <f ca="1">IFERROR(__xludf.DUMMYFUNCTION("""COMPUTED_VALUE"""),"Eventos da Área")</f>
        <v>Eventos da Área</v>
      </c>
      <c r="B94" s="57" t="str">
        <f ca="1">IFERROR(__xludf.DUMMYFUNCTION("""COMPUTED_VALUE"""),"COMSOC")</f>
        <v>COMSOC</v>
      </c>
      <c r="C94" s="57" t="str">
        <f ca="1">IFERROR(__xludf.DUMMYFUNCTION("""COMPUTED_VALUE"""),"International Workshop on Computational Social Choice")</f>
        <v>International Workshop on Computational Social Choice</v>
      </c>
      <c r="D94" s="45"/>
      <c r="E94" s="57"/>
      <c r="F94" s="42"/>
      <c r="G94" s="42"/>
      <c r="H94" s="42"/>
      <c r="I94" s="42"/>
      <c r="J94" s="42"/>
    </row>
    <row r="95" spans="1:10" ht="25.5" customHeight="1">
      <c r="A95" s="94" t="str">
        <f ca="1">IFERROR(__xludf.DUMMYFUNCTION("""COMPUTED_VALUE"""),"Eventos da Área")</f>
        <v>Eventos da Área</v>
      </c>
      <c r="B95" s="57" t="str">
        <f ca="1">IFERROR(__xludf.DUMMYFUNCTION("""COMPUTED_VALUE"""),"SESoS")</f>
        <v>SESoS</v>
      </c>
      <c r="C95" s="57" t="str">
        <f ca="1">IFERROR(__xludf.DUMMYFUNCTION("""COMPUTED_VALUE"""),"International Workshop on Software Engineering of Systems-of-Systems")</f>
        <v>International Workshop on Software Engineering of Systems-of-Systems</v>
      </c>
      <c r="D95" s="45"/>
      <c r="E95" s="57"/>
      <c r="F95" s="42"/>
      <c r="G95" s="42"/>
      <c r="H95" s="42"/>
      <c r="I95" s="42"/>
      <c r="J95" s="42"/>
    </row>
    <row r="96" spans="1:10" ht="25.5" customHeight="1">
      <c r="A96" s="94" t="str">
        <f ca="1">IFERROR(__xludf.DUMMYFUNCTION("""COMPUTED_VALUE"""),"Eventos da Área")</f>
        <v>Eventos da Área</v>
      </c>
      <c r="B96" s="57" t="str">
        <f ca="1">IFERROR(__xludf.DUMMYFUNCTION("""COMPUTED_VALUE"""),"SoWeMi")</f>
        <v>SoWeMi</v>
      </c>
      <c r="C96" s="57" t="str">
        <f ca="1">IFERROR(__xludf.DUMMYFUNCTION("""COMPUTED_VALUE"""),"International Workshop on Mining the Social Web")</f>
        <v>International Workshop on Mining the Social Web</v>
      </c>
      <c r="D96" s="45"/>
      <c r="E96" s="57"/>
      <c r="F96" s="42"/>
      <c r="G96" s="42"/>
      <c r="H96" s="42"/>
      <c r="I96" s="42"/>
      <c r="J96" s="42"/>
    </row>
    <row r="97" spans="1:10" ht="25.5" customHeight="1">
      <c r="A97" s="94" t="str">
        <f ca="1">IFERROR(__xludf.DUMMYFUNCTION("""COMPUTED_VALUE"""),"Eventos da Área")</f>
        <v>Eventos da Área</v>
      </c>
      <c r="B97" s="57" t="str">
        <f ca="1">IFERROR(__xludf.DUMMYFUNCTION("""COMPUTED_VALUE"""),"WCAMA")</f>
        <v>WCAMA</v>
      </c>
      <c r="C97" s="57" t="str">
        <f ca="1">IFERROR(__xludf.DUMMYFUNCTION("""COMPUTED_VALUE"""),"Workshop de Computação Aplicada à Gestão do Meio Ambiente e Recursos Naturais")</f>
        <v>Workshop de Computação Aplicada à Gestão do Meio Ambiente e Recursos Naturais</v>
      </c>
      <c r="D97" s="45"/>
      <c r="E97" s="57"/>
      <c r="F97" s="42"/>
      <c r="G97" s="42"/>
      <c r="H97" s="42"/>
      <c r="I97" s="42"/>
      <c r="J97" s="42"/>
    </row>
    <row r="98" spans="1:10" ht="25.5" customHeight="1">
      <c r="A98" s="94" t="str">
        <f ca="1">IFERROR(__xludf.DUMMYFUNCTION("""COMPUTED_VALUE"""),"Eventos da Área")</f>
        <v>Eventos da Área</v>
      </c>
      <c r="B98" s="57" t="str">
        <f ca="1">IFERROR(__xludf.DUMMYFUNCTION("""COMPUTED_VALUE"""),"WCGE")</f>
        <v>WCGE</v>
      </c>
      <c r="C98" s="57" t="str">
        <f ca="1">IFERROR(__xludf.DUMMYFUNCTION("""COMPUTED_VALUE"""),"Workshop de Computação Aplicada ao Governo Eletrônico")</f>
        <v>Workshop de Computação Aplicada ao Governo Eletrônico</v>
      </c>
      <c r="D98" s="45"/>
      <c r="E98" s="57"/>
      <c r="F98" s="42"/>
      <c r="G98" s="42"/>
      <c r="H98" s="42"/>
      <c r="I98" s="42"/>
      <c r="J98" s="42"/>
    </row>
    <row r="99" spans="1:10" ht="25.5" customHeight="1">
      <c r="A99" s="94" t="str">
        <f ca="1">IFERROR(__xludf.DUMMYFUNCTION("""COMPUTED_VALUE"""),"Eventos da Área")</f>
        <v>Eventos da Área</v>
      </c>
      <c r="B99" s="57" t="str">
        <f ca="1">IFERROR(__xludf.DUMMYFUNCTION("""COMPUTED_VALUE"""),"MEDES")</f>
        <v>MEDES</v>
      </c>
      <c r="C99" s="57" t="str">
        <f ca="1">IFERROR(__xludf.DUMMYFUNCTION("""COMPUTED_VALUE"""),"International ACM Conferece on Management of Digital EcoSystems")</f>
        <v>International ACM Conferece on Management of Digital EcoSystems</v>
      </c>
      <c r="D99" s="45"/>
      <c r="E99" s="57"/>
      <c r="F99" s="42"/>
      <c r="G99" s="42"/>
      <c r="H99" s="42"/>
      <c r="I99" s="42"/>
      <c r="J99" s="42"/>
    </row>
    <row r="100" spans="1:10" s="96" customFormat="1" ht="25.5" customHeight="1">
      <c r="A100" s="94" t="str">
        <f ca="1">IFERROR(__xludf.DUMMYFUNCTION("""COMPUTED_VALUE"""),"Eventos da Área")</f>
        <v>Eventos da Área</v>
      </c>
      <c r="B100" s="57"/>
      <c r="C100" s="57" t="str">
        <f ca="1">IFERROR(__xludf.DUMMYFUNCTION("""COMPUTED_VALUE"""),"IEEE International Conference on Cloud Networking")</f>
        <v>IEEE International Conference on Cloud Networking</v>
      </c>
      <c r="D100" s="45"/>
      <c r="E100" s="57"/>
    </row>
    <row r="101" spans="1:10" s="96" customFormat="1" ht="25.5" customHeight="1">
      <c r="A101" s="94" t="str">
        <f ca="1">IFERROR(__xludf.DUMMYFUNCTION("""COMPUTED_VALUE"""),"Eventos da Área")</f>
        <v>Eventos da Área</v>
      </c>
      <c r="B101" s="57"/>
      <c r="C101" s="57" t="str">
        <f ca="1">IFERROR(__xludf.DUMMYFUNCTION("""COMPUTED_VALUE"""),"International Conference on Cloud Computing Technologies and Applications")</f>
        <v>International Conference on Cloud Computing Technologies and Applications</v>
      </c>
      <c r="D101" s="45"/>
      <c r="E101" s="57"/>
    </row>
    <row r="102" spans="1:10" ht="25.5" customHeight="1">
      <c r="A102" s="94" t="str">
        <f ca="1">IFERROR(__xludf.DUMMYFUNCTION("""COMPUTED_VALUE"""),"Eventos da Área")</f>
        <v>Eventos da Área</v>
      </c>
      <c r="B102" s="57"/>
      <c r="C102" s="57" t="str">
        <f ca="1">IFERROR(__xludf.DUMMYFUNCTION("""COMPUTED_VALUE"""),"IEEE/ACM International Symposium on Cluster, Cloud and Grid Computing")</f>
        <v>IEEE/ACM International Symposium on Cluster, Cloud and Grid Computing</v>
      </c>
      <c r="D102" s="45"/>
      <c r="E102" s="57"/>
      <c r="F102" s="42"/>
      <c r="G102" s="42"/>
      <c r="H102" s="42"/>
      <c r="I102" s="42"/>
      <c r="J102" s="42"/>
    </row>
    <row r="103" spans="1:10" ht="25.5" customHeight="1">
      <c r="A103" s="94" t="str">
        <f ca="1">IFERROR(__xludf.DUMMYFUNCTION("""COMPUTED_VALUE"""),"Eventos da Área")</f>
        <v>Eventos da Área</v>
      </c>
      <c r="B103" s="57" t="str">
        <f ca="1">IFERROR(__xludf.DUMMYFUNCTION("""COMPUTED_VALUE"""),"CICLing")</f>
        <v>CICLing</v>
      </c>
      <c r="C103" s="57" t="str">
        <f ca="1">IFERROR(__xludf.DUMMYFUNCTION("""COMPUTED_VALUE"""),"International Conference on Computational Linguistics and Intelligent Text Processing")</f>
        <v>International Conference on Computational Linguistics and Intelligent Text Processing</v>
      </c>
      <c r="D103" s="45"/>
      <c r="E103" s="57"/>
      <c r="F103" s="42"/>
      <c r="G103" s="42"/>
      <c r="H103" s="42"/>
      <c r="I103" s="42"/>
      <c r="J103" s="42"/>
    </row>
    <row r="104" spans="1:10" ht="25.5" customHeight="1">
      <c r="A104" s="94" t="str">
        <f ca="1">IFERROR(__xludf.DUMMYFUNCTION("""COMPUTED_VALUE"""),"Eventos da Área")</f>
        <v>Eventos da Área</v>
      </c>
      <c r="B104" s="57" t="str">
        <f ca="1">IFERROR(__xludf.DUMMYFUNCTION("""COMPUTED_VALUE"""),"MCDM")</f>
        <v>MCDM</v>
      </c>
      <c r="C104" s="45" t="str">
        <f ca="1">IFERROR(__xludf.DUMMYFUNCTION("""COMPUTED_VALUE"""),"International Conference on Multiple Criteria Decision Making")</f>
        <v>International Conference on Multiple Criteria Decision Making</v>
      </c>
      <c r="D104" s="45"/>
      <c r="E104" s="57"/>
      <c r="F104" s="42"/>
      <c r="G104" s="42"/>
      <c r="H104" s="42"/>
      <c r="I104" s="42"/>
      <c r="J104" s="42"/>
    </row>
    <row r="105" spans="1:10" ht="14.25">
      <c r="B105" s="97"/>
      <c r="C105" s="98"/>
      <c r="H105" s="100"/>
      <c r="I105" s="100"/>
      <c r="J105" s="100"/>
    </row>
    <row r="106" spans="1:10" ht="14.25">
      <c r="B106" s="97"/>
      <c r="C106" s="101"/>
      <c r="I106" s="100"/>
      <c r="J106" s="100"/>
    </row>
    <row r="107" spans="1:10" ht="14.25">
      <c r="B107" s="102"/>
      <c r="C107" s="101"/>
      <c r="J107" s="100"/>
    </row>
    <row r="108" spans="1:10" ht="12.75">
      <c r="B108" s="103"/>
      <c r="C108" s="100"/>
      <c r="G108" s="100"/>
      <c r="H108" s="100"/>
      <c r="I108" s="100"/>
      <c r="J108" s="100"/>
    </row>
  </sheetData>
  <hyperlinks>
    <hyperlink ref="E3" r:id="rId1" display="https://scholar.google.com.br/citations?hl=pt-BR&amp;view_op=list_hcore&amp;venue=6wBd043QhTIJ.2018"/>
    <hyperlink ref="E4" r:id="rId2" display="https://scholar.google.com.br/citations?hl=pt-BR&amp;view_op=list_hcore&amp;venue=dF8xpB0_PnwJ.2018"/>
    <hyperlink ref="E5" r:id="rId3" display="https://scholar.google.com.br/citations?hl=pt-BR&amp;view_op=list_hcore&amp;venue=CY_aqjanJeoJ.2018"/>
    <hyperlink ref="E6" r:id="rId4" display="https://scholar.google.com.br/citations?hl=pt-BR&amp;view_op=list_hcore&amp;venue=hL4tvEz50McJ.2018"/>
    <hyperlink ref="E7" r:id="rId5" display="https://scholar.google.com.br/citations?hl=pt-BR&amp;view_op=list_hcore&amp;venue=Z7jeczV8wooJ.2018"/>
    <hyperlink ref="E8" r:id="rId6" display="https://scholar.google.com.br/citations?hl=pt-BR&amp;view_op=list_hcore&amp;venue=5PSS5xHm_KwJ.2018"/>
    <hyperlink ref="E9" r:id="rId7" display="https://scholar.google.com.br/citations?hl=pt-BR&amp;view_op=list_hcore&amp;venue=zsGWp1QJr3AJ.2018"/>
    <hyperlink ref="E10" r:id="rId8" display="https://scholar.google.com.br/citations?hl=pt-BR&amp;view_op=list_hcore&amp;venue=PHUeOJr2y-EJ.2018"/>
    <hyperlink ref="E11" r:id="rId9" display="https://scholar.google.com.br/citations?hl=pt-BR&amp;view_op=search_venues&amp;vq=IEEE+International+Conference+on+Systems%2C+Man+and+Cybernetics&amp;btnG="/>
    <hyperlink ref="E12" r:id="rId10" display="https://scholar.google.com.br/citations?hl=pt-BR&amp;view_op=list_hcore&amp;venue=eLhWa3qzEDsJ.2018"/>
    <hyperlink ref="E13" r:id="rId11" display="https://scholar.google.com.br/citations?hl=pt-BR&amp;view_op=list_hcore&amp;venue=K9DmX5xQU-YJ.2018"/>
    <hyperlink ref="E14" r:id="rId12" display="https://scholar.google.com.br/citations?hl=pt-BR&amp;view_op=list_hcore&amp;venue=TThVqfDwD3QJ.2018"/>
    <hyperlink ref="E15" r:id="rId13" display="https://scholar.google.com.br/citations?hl=pt-BR&amp;view_op=list_hcore&amp;venue=0oQi0-PzQ8sJ.2018"/>
    <hyperlink ref="E19" r:id="rId14" display="https://scholar.google.com.br/citations?hl=pt-BR&amp;view_op=list_hcore&amp;venue=K48f4XYSH_MJ.2018"/>
    <hyperlink ref="E21" r:id="rId15" display="https://scholar.google.com.br/citations?hl=pt-BR&amp;view_op=list_hcore&amp;venue=IXwBVJe3Y30J.2019"/>
    <hyperlink ref="E22" r:id="rId16" display="https://scholar.google.com.br/citations?hl=pt-BR&amp;view_op=list_hcore&amp;venue=kXowlNFROIgJ.2018"/>
    <hyperlink ref="E23" r:id="rId17" display="https://scholar.google.com.br/citations?hl=pt-BR&amp;view_op=list_hcore&amp;venue=6AbX1YWluE4J.2018"/>
    <hyperlink ref="E24" r:id="rId18" display="https://scholar.google.com.br/citations?hl=pt-BR&amp;view_op=list_hcore&amp;venue=eH4qSzdbVtwJ.2018"/>
    <hyperlink ref="E25" r:id="rId19" display="https://scholar.google.com.br/citations?hl=pt-BR&amp;view_op=list_hcore&amp;venue=V-IMg2OTpU8J.2018"/>
    <hyperlink ref="E26" r:id="rId20" display="https://scholar.google.com.br/citations?hl=pt-BR&amp;view_op=list_hcore&amp;venue=4-w_STT7RmEJ.2018"/>
    <hyperlink ref="E27" r:id="rId21" display="https://scholar.google.com.br/citations?hl=pt-BR&amp;view_op=list_hcore&amp;venue=o1durVJyeP4J.2019"/>
    <hyperlink ref="E28" r:id="rId22" display="https://scholar.google.com.br/citations?hl=pt-BR&amp;view_op=list_hcore&amp;venue=H7TUtVM_vm4J.2019"/>
    <hyperlink ref="E29" r:id="rId23" display="https://scholar.google.com.br/citations?hl=pt-BR&amp;view_op=list_hcore&amp;venue=71Q5CJZj-VYJ.2018"/>
    <hyperlink ref="E30" r:id="rId24" display="https://scholar.google.com.br/citations?hl=pt-BR&amp;view_op=list_hcore&amp;venue=ioohKoS5imcJ.2018"/>
    <hyperlink ref="E31" r:id="rId25" display="https://scholar.google.com.br/citations?hl=pt-BR&amp;view_op=list_hcore&amp;venue=e23jKy7NXr8J.2018"/>
    <hyperlink ref="E32" r:id="rId26" display="https://scholar.google.com.br/citations?hl=pt-BR&amp;view_op=list_hcore&amp;venue=0N6unYCR7HoJ.2018"/>
    <hyperlink ref="E33" r:id="rId27" display="https://scholar.google.com.br/citations?hl=pt-BR&amp;view_op=list_hcore&amp;venue=bjjY0KRB7JIJ.2018"/>
    <hyperlink ref="E34" r:id="rId28" display="https://scholar.google.com.br/citations?hl=pt-BR&amp;view_op=list_hcore&amp;venue=aNZ314HiR4YJ.2018"/>
    <hyperlink ref="E35" r:id="rId29" display="https://scholar.google.com.br/citations?hl=pt-BR&amp;view_op=list_hcore&amp;venue=jpqK-S5bXocJ.2018"/>
    <hyperlink ref="E36" r:id="rId30" display="https://scholar.google.com.br/citations?hl=pt-BR&amp;view_op=list_hcore&amp;venue=gGlXeJBf1F4J.2018"/>
    <hyperlink ref="E37" r:id="rId31" display="https://scholar.google.com.br/citations?hl=pt-BR&amp;view_op=list_hcore&amp;venue=UYzshLpmx2EJ.2018"/>
    <hyperlink ref="E38" r:id="rId32" display="https://scholar.google.com.br/citations?hl=pt-BR&amp;view_op=list_hcore&amp;venue=NA4iP0Rm0toJ.2019"/>
    <hyperlink ref="E39" r:id="rId33" display="https://scholar.google.com.br/citations?hl=pt-BR&amp;view_op=list_hcore&amp;venue=U4LFuNlM8GMJ.2018"/>
    <hyperlink ref="E40" r:id="rId34" display="https://scholar.google.com.br/citations?hl=pt-BR&amp;view_op=list_hcore&amp;venue=jtXTIwcBWV8J.2018"/>
    <hyperlink ref="E41" r:id="rId35" display="https://scholar.google.com.br/citations?hl=pt-BR&amp;view_op=list_hcore&amp;venue=7aapB1klPAcJ.2018"/>
    <hyperlink ref="E42" r:id="rId36" display="https://scholar.google.com.br/citations?hl=pt-BR&amp;view_op=list_hcore&amp;venue=FQ-Mb1qR5dQJ.2019"/>
    <hyperlink ref="E43" r:id="rId37" display="https://scholar.google.com.br/citations?hl=pt-BR&amp;view_op=list_hcore&amp;venue=qdOiyX83Y5cJ.2019"/>
    <hyperlink ref="E44" r:id="rId38" display="https://scholar.google.com.br/citations?hl=pt-BR&amp;view_op=list_hcore&amp;venue=xo4pTqxCvn8J.2019"/>
    <hyperlink ref="E45" r:id="rId39" display="https://scholar.google.com.br/citations?hl=pt-BR&amp;view_op=list_hcore&amp;venue=_Fj23yox54QJ.2018"/>
    <hyperlink ref="E46" r:id="rId40" display="https://scholar.google.com.br/citations?hl=pt-BR&amp;view_op=list_hcore&amp;venue=n2j6wbZrIFcJ.2018"/>
    <hyperlink ref="E47" r:id="rId41" display="https://scholar.google.com.br/citations?hl=pt-BR&amp;view_op=list_hcore&amp;venue=yxUYnK6YD7QJ.2018"/>
    <hyperlink ref="E48" r:id="rId42" display="https://scholar.google.com.br/citations?hl=pt-BR&amp;view_op=list_hcore&amp;venue=109OuuD55eYJ.2018"/>
    <hyperlink ref="E49" r:id="rId43" display="https://scholar.google.com.br/citations?hl=pt-BR&amp;view_op=list_hcore&amp;venue=I8L8xmsrq2EJ.2019"/>
    <hyperlink ref="E50" r:id="rId44" display="https://scholar.google.com.br/citations?hl=pt-BR&amp;view_op=list_hcore&amp;venue=UF-KqO2gwjoJ.2018"/>
    <hyperlink ref="E51" r:id="rId45" display="https://scholar.google.com.br/citations?hl=pt-BR&amp;view_op=list_hcore&amp;venue=jUmAddBIvfsJ.2018"/>
    <hyperlink ref="E52" r:id="rId46" display="https://scholar.google.com.br/citations?hl=pt-BR&amp;view_op=list_hcore&amp;venue=hltkuBaF_uEJ.2019"/>
    <hyperlink ref="E53" r:id="rId47" display="https://scholar.google.com.br/citations?hl=pt-BR&amp;view_op=list_hcore&amp;venue=Tq_VLYZkpzwJ.2018"/>
    <hyperlink ref="E54" r:id="rId48" display="https://scholar.google.com.br/citations?hl=pt-BR&amp;view_op=list_hcore&amp;venue=ZHdJbJwh40EJ.2018"/>
    <hyperlink ref="E55" r:id="rId49" display="https://scholar.google.com.br/citations?hl=pt-BR&amp;view_op=list_hcore&amp;venue=pEYfHFCSslcJ.2018"/>
    <hyperlink ref="E56" r:id="rId50" display="https://scholar.google.com.br/citations?hl=pt-BR&amp;view_op=list_hcore&amp;venue=CvhnNEBhA8sJ.2018"/>
    <hyperlink ref="E57" r:id="rId51" display="https://scholar.google.com.br/citations?hl=pt-BR&amp;view_op=list_hcore&amp;venue=mkkGwB_8LU8J.2018"/>
    <hyperlink ref="E58" r:id="rId52" display="https://scholar.google.com.br/citations?hl=pt-BR&amp;view_op=list_hcore&amp;venue=lySJ7rWrE4EJ.2018"/>
    <hyperlink ref="E59" r:id="rId53" display="https://scholar.google.com.br/citations?hl=pt-BR&amp;view_op=list_hcore&amp;venue=DxTMQsOcxf0J.2018"/>
    <hyperlink ref="E60" r:id="rId54" display="https://scholar.google.com.br/citations?hl=pt-BR&amp;view_op=list_hcore&amp;venue=e5pHNeuFGzEJ.2018"/>
    <hyperlink ref="E61" r:id="rId55" display="https://scholar.google.com.br/citations?hl=pt-BR&amp;view_op=list_hcore&amp;venue=FdZkG8N8jboJ.2019"/>
    <hyperlink ref="E62" r:id="rId56" display="https://scholar.google.com.br/citations?hl=pt-BR&amp;view_op=list_hcore&amp;venue=ZUebrDHNH9sJ.2018"/>
    <hyperlink ref="E63" r:id="rId57" display="https://scholar.google.com.br/citations?hl=pt-BR&amp;view_op=list_hcore&amp;venue=hTnzOl0B1DQJ.2018"/>
    <hyperlink ref="E64" r:id="rId58" display="https://scholar.google.com.br/citations?hl=pt-BR&amp;view_op=list_hcore&amp;venue=ThEGj_a76ZUJ.2018"/>
    <hyperlink ref="E65" r:id="rId59" display="https://scholar.google.com.br/citations?hl=pt-BR&amp;view_op=list_hcore&amp;venue=YC7yoNYrtdAJ.2019"/>
    <hyperlink ref="E66" r:id="rId60" display="https://scholar.google.com.br/citations?hl=pt-BR&amp;view_op=list_hcore&amp;venue=7uNBCFVqIJ0J.2019"/>
    <hyperlink ref="E67" r:id="rId61" display="https://scholar.google.com.br/citations?hl=pt-BR&amp;view_op=list_hcore&amp;venue=cMBBSwoVSQ8J.2019"/>
    <hyperlink ref="E68" r:id="rId62" display="https://scholar.google.com.br/citations?hl=pt-BR&amp;view_op=list_hcore&amp;venue=8aBtgrGnL1MJ.2019"/>
    <hyperlink ref="E69" r:id="rId63" display="https://scholar.google.com.br/citations?hl=pt-BR&amp;view_op=list_hcore&amp;venue=pKdqGpOOIq0J.2018"/>
    <hyperlink ref="E70" r:id="rId64" display="https://scholar.google.com.br/citations?hl=pt-BR&amp;view_op=list_hcore&amp;venue=kwOZ7j8uP1wJ.2018"/>
    <hyperlink ref="E71" r:id="rId65" display="https://scholar.google.com.br/citations?hl=pt-BR&amp;view_op=list_hcore&amp;venue=as1viggupKQJ.2018"/>
    <hyperlink ref="E72" r:id="rId66" display="https://scholar.google.com.br/citations?hl=pt-BR&amp;view_op=list_hcore&amp;venue=-yAq_nHfnI0J.2018"/>
    <hyperlink ref="E73" r:id="rId67" display="https://scholar.google.com.br/citations?hl=pt-BR&amp;view_op=list_hcore&amp;venue=seJ96jN95xkJ.2019"/>
    <hyperlink ref="E74" r:id="rId68" display="https://scholar.google.com.br/citations?hl=pt-BR&amp;view_op=list_hcore&amp;venue=At2mYNztZhYJ.2019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showGridLines="0" zoomScaleNormal="100" workbookViewId="0">
      <selection activeCell="C34" sqref="C34"/>
    </sheetView>
  </sheetViews>
  <sheetFormatPr defaultColWidth="12.5703125" defaultRowHeight="15.75" customHeight="1"/>
  <cols>
    <col min="1" max="1" width="20.140625" customWidth="1"/>
    <col min="2" max="2" width="23.28515625" customWidth="1"/>
    <col min="3" max="3" width="125.5703125" customWidth="1"/>
    <col min="4" max="4" width="5.85546875" customWidth="1"/>
    <col min="5" max="5" width="154.7109375" style="1" customWidth="1"/>
  </cols>
  <sheetData>
    <row r="1" spans="1:25" ht="25.5" customHeight="1">
      <c r="A1" s="71" t="str">
        <f ca="1">IFERROR(__xludf.DUMMYFUNCTION("importrange(""https://docs.google.com/spreadsheets/d/1_M3fLRqwIIxFA2y41HrsZB4EhXI0XPG8MwPgpbtIpZU/edit#gid=1214547820"",""CE-BD!A1:J150"")"),"TOP")</f>
        <v>TOP</v>
      </c>
      <c r="B1" s="71" t="str">
        <f ca="1">IFERROR(__xludf.DUMMYFUNCTION("""COMPUTED_VALUE"""),"SIGLA")</f>
        <v>SIGLA</v>
      </c>
      <c r="C1" s="71" t="str">
        <f ca="1">IFERROR(__xludf.DUMMYFUNCTION("""COMPUTED_VALUE"""),"NOME")</f>
        <v>NOME</v>
      </c>
      <c r="D1" s="71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5.5" customHeight="1">
      <c r="A2" s="67" t="str">
        <f ca="1">IFERROR(__xludf.DUMMYFUNCTION("""COMPUTED_VALUE"""),"Top 10")</f>
        <v>Top 10</v>
      </c>
      <c r="B2" s="46" t="str">
        <f ca="1">IFERROR(__xludf.DUMMYFUNCTION("""COMPUTED_VALUE"""),"VLDB")</f>
        <v>VLDB</v>
      </c>
      <c r="C2" s="46" t="str">
        <f ca="1">IFERROR(__xludf.DUMMYFUNCTION("""COMPUTED_VALUE"""),"International Conference on Very Large Data Bases")</f>
        <v>International Conference on Very Large Data Bases</v>
      </c>
      <c r="D2" s="46">
        <f ca="1">IFERROR(__xludf.DUMMYFUNCTION("""COMPUTED_VALUE"""),74)</f>
        <v>74</v>
      </c>
      <c r="E2" s="60" t="str">
        <f ca="1">IFERROR(__xludf.DUMMYFUNCTION("""COMPUTED_VALUE"""),"https://scholar.google.com/citations?hl=en&amp;vq=eng_databasesinformationsystems&amp;view_op=list_hcore&amp;venue=HgMIeQ05CyMJ.2018")</f>
        <v>https://scholar.google.com/citations?hl=en&amp;vq=eng_databasesinformationsystems&amp;view_op=list_hcore&amp;venue=HgMIeQ05CyMJ.2018</v>
      </c>
    </row>
    <row r="3" spans="1:25" ht="25.5" customHeight="1">
      <c r="A3" s="67" t="str">
        <f ca="1">IFERROR(__xludf.DUMMYFUNCTION("""COMPUTED_VALUE"""),"Top 10")</f>
        <v>Top 10</v>
      </c>
      <c r="B3" s="46" t="str">
        <f ca="1">IFERROR(__xludf.DUMMYFUNCTION("""COMPUTED_VALUE"""),"SIGMOD")</f>
        <v>SIGMOD</v>
      </c>
      <c r="C3" s="46" t="str">
        <f ca="1">IFERROR(__xludf.DUMMYFUNCTION("""COMPUTED_VALUE"""),"ACM International Conference on Management of Data")</f>
        <v>ACM International Conference on Management of Data</v>
      </c>
      <c r="D3" s="46">
        <f ca="1">IFERROR(__xludf.DUMMYFUNCTION("""COMPUTED_VALUE"""),67)</f>
        <v>67</v>
      </c>
      <c r="E3" s="60" t="str">
        <f ca="1">IFERROR(__xludf.DUMMYFUNCTION("""COMPUTED_VALUE"""),"https://scholar.google.com/citations?hl=en&amp;vq=eng_databasesinformationsystems&amp;view_op=list_hcore&amp;venue=u1CjH9_75_cJ.2018")</f>
        <v>https://scholar.google.com/citations?hl=en&amp;vq=eng_databasesinformationsystems&amp;view_op=list_hcore&amp;venue=u1CjH9_75_cJ.2018</v>
      </c>
    </row>
    <row r="4" spans="1:25" ht="25.5" customHeight="1">
      <c r="A4" s="67" t="str">
        <f ca="1">IFERROR(__xludf.DUMMYFUNCTION("""COMPUTED_VALUE"""),"Top 10")</f>
        <v>Top 10</v>
      </c>
      <c r="B4" s="46" t="str">
        <f ca="1">IFERROR(__xludf.DUMMYFUNCTION("""COMPUTED_VALUE"""),"PODS")</f>
        <v>PODS</v>
      </c>
      <c r="C4" s="46" t="str">
        <f ca="1">IFERROR(__xludf.DUMMYFUNCTION("""COMPUTED_VALUE"""),"Symposium on Principles of Database Systems")</f>
        <v>Symposium on Principles of Database Systems</v>
      </c>
      <c r="D4" s="60">
        <f ca="1">IFERROR(__xludf.DUMMYFUNCTION("""COMPUTED_VALUE"""),25)</f>
        <v>25</v>
      </c>
      <c r="E4" s="60" t="str">
        <f ca="1">IFERROR(__xludf.DUMMYFUNCTION("""COMPUTED_VALUE"""),"https://scholar.google.com/citations?hl=en&amp;view_op=list_hcore&amp;venue=rDUVyYLeRdUJ.2019")</f>
        <v>https://scholar.google.com/citations?hl=en&amp;view_op=list_hcore&amp;venue=rDUVyYLeRdUJ.2019</v>
      </c>
    </row>
    <row r="5" spans="1:25" ht="25.5" customHeight="1">
      <c r="A5" s="67" t="str">
        <f ca="1">IFERROR(__xludf.DUMMYFUNCTION("""COMPUTED_VALUE"""),"Top 10")</f>
        <v>Top 10</v>
      </c>
      <c r="B5" s="46" t="str">
        <f ca="1">IFERROR(__xludf.DUMMYFUNCTION("""COMPUTED_VALUE"""),"ICDE")</f>
        <v>ICDE</v>
      </c>
      <c r="C5" s="46" t="str">
        <f ca="1">IFERROR(__xludf.DUMMYFUNCTION("""COMPUTED_VALUE"""),"IEEE International Conference on Data Engineering")</f>
        <v>IEEE International Conference on Data Engineering</v>
      </c>
      <c r="D5" s="46">
        <f ca="1">IFERROR(__xludf.DUMMYFUNCTION("""COMPUTED_VALUE"""),53)</f>
        <v>53</v>
      </c>
      <c r="E5" s="60" t="str">
        <f ca="1">IFERROR(__xludf.DUMMYFUNCTION("""COMPUTED_VALUE"""),"https://scholar.google.com/citations?hl=en&amp;view_op=list_hcore&amp;venue=HdCtgB7kxZAJ.2018")</f>
        <v>https://scholar.google.com/citations?hl=en&amp;view_op=list_hcore&amp;venue=HdCtgB7kxZAJ.2018</v>
      </c>
    </row>
    <row r="6" spans="1:25" ht="25.5" customHeight="1">
      <c r="A6" s="67" t="str">
        <f ca="1">IFERROR(__xludf.DUMMYFUNCTION("""COMPUTED_VALUE"""),"Top 10")</f>
        <v>Top 10</v>
      </c>
      <c r="B6" s="46" t="str">
        <f ca="1">IFERROR(__xludf.DUMMYFUNCTION("""COMPUTED_VALUE"""),"EDBT")</f>
        <v>EDBT</v>
      </c>
      <c r="C6" s="46" t="str">
        <f ca="1">IFERROR(__xludf.DUMMYFUNCTION("""COMPUTED_VALUE"""),"International Conference on Extending Database Technology")</f>
        <v>International Conference on Extending Database Technology</v>
      </c>
      <c r="D6" s="60">
        <f ca="1">IFERROR(__xludf.DUMMYFUNCTION("""COMPUTED_VALUE"""),29)</f>
        <v>29</v>
      </c>
      <c r="E6" s="60" t="str">
        <f ca="1">IFERROR(__xludf.DUMMYFUNCTION("""COMPUTED_VALUE"""),"https://scholar.google.com/citations?hl=en&amp;view_op=list_hcore&amp;venue=WuE3NzMRZNAJ.2018")</f>
        <v>https://scholar.google.com/citations?hl=en&amp;view_op=list_hcore&amp;venue=WuE3NzMRZNAJ.2018</v>
      </c>
    </row>
    <row r="7" spans="1:25" ht="25.5" customHeight="1">
      <c r="A7" s="67" t="str">
        <f ca="1">IFERROR(__xludf.DUMMYFUNCTION("""COMPUTED_VALUE"""),"Top 10")</f>
        <v>Top 10</v>
      </c>
      <c r="B7" s="46" t="str">
        <f ca="1">IFERROR(__xludf.DUMMYFUNCTION("""COMPUTED_VALUE"""),"CIKM")</f>
        <v>CIKM</v>
      </c>
      <c r="C7" s="46" t="str">
        <f ca="1">IFERROR(__xludf.DUMMYFUNCTION("""COMPUTED_VALUE"""),"ACM International Conference on Information and Knowledge Management")</f>
        <v>ACM International Conference on Information and Knowledge Management</v>
      </c>
      <c r="D7" s="46">
        <f ca="1">IFERROR(__xludf.DUMMYFUNCTION("""COMPUTED_VALUE"""),49)</f>
        <v>49</v>
      </c>
      <c r="E7" s="60" t="str">
        <f ca="1">IFERROR(__xludf.DUMMYFUNCTION("""COMPUTED_VALUE"""),"https://scholar.google.com/citations?hl=en&amp;view_op=list_hcore&amp;venue=V-IMg2OTpU8J.2018")</f>
        <v>https://scholar.google.com/citations?hl=en&amp;view_op=list_hcore&amp;venue=V-IMg2OTpU8J.2018</v>
      </c>
    </row>
    <row r="8" spans="1:25" ht="25.5" customHeight="1">
      <c r="A8" s="67" t="str">
        <f ca="1">IFERROR(__xludf.DUMMYFUNCTION("""COMPUTED_VALUE"""),"Top 10")</f>
        <v>Top 10</v>
      </c>
      <c r="B8" s="46" t="str">
        <f ca="1">IFERROR(__xludf.DUMMYFUNCTION("""COMPUTED_VALUE"""),"ER")</f>
        <v>ER</v>
      </c>
      <c r="C8" s="46" t="str">
        <f ca="1">IFERROR(__xludf.DUMMYFUNCTION("""COMPUTED_VALUE"""),"Conference on Conceptual Modeling")</f>
        <v>Conference on Conceptual Modeling</v>
      </c>
      <c r="D8" s="60">
        <f ca="1">IFERROR(__xludf.DUMMYFUNCTION("""COMPUTED_VALUE"""),20)</f>
        <v>20</v>
      </c>
      <c r="E8" s="60" t="str">
        <f ca="1">IFERROR(__xludf.DUMMYFUNCTION("""COMPUTED_VALUE"""),"https://scholar.google.com/citations?hl=en&amp;view_op=list_hcore&amp;venue=wB6WaEpFlvgJ.2018")</f>
        <v>https://scholar.google.com/citations?hl=en&amp;view_op=list_hcore&amp;venue=wB6WaEpFlvgJ.2018</v>
      </c>
    </row>
    <row r="9" spans="1:25" ht="25.5" customHeight="1">
      <c r="A9" s="67" t="str">
        <f ca="1">IFERROR(__xludf.DUMMYFUNCTION("""COMPUTED_VALUE"""),"Top 10")</f>
        <v>Top 10</v>
      </c>
      <c r="B9" s="46" t="str">
        <f ca="1">IFERROR(__xludf.DUMMYFUNCTION("""COMPUTED_VALUE"""),"SBBD")</f>
        <v>SBBD</v>
      </c>
      <c r="C9" s="46" t="str">
        <f ca="1">IFERROR(__xludf.DUMMYFUNCTION("""COMPUTED_VALUE"""),"Simpósio Brasileiro de Bancos de Dados")</f>
        <v>Simpósio Brasileiro de Bancos de Dados</v>
      </c>
      <c r="D9" s="60">
        <f ca="1">IFERROR(__xludf.DUMMYFUNCTION("""COMPUTED_VALUE"""),5)</f>
        <v>5</v>
      </c>
      <c r="E9" s="60" t="str">
        <f ca="1">IFERROR(__xludf.DUMMYFUNCTION("""COMPUTED_VALUE"""),"https://scholar.google.com/citations?hl=en&amp;view_op=list_hcore&amp;venue=ixetonJUY2YJ.2018")</f>
        <v>https://scholar.google.com/citations?hl=en&amp;view_op=list_hcore&amp;venue=ixetonJUY2YJ.2018</v>
      </c>
    </row>
    <row r="10" spans="1:25" ht="25.5" customHeight="1">
      <c r="A10" s="67" t="str">
        <f ca="1">IFERROR(__xludf.DUMMYFUNCTION("""COMPUTED_VALUE"""),"Top 10")</f>
        <v>Top 10</v>
      </c>
      <c r="B10" s="46" t="str">
        <f ca="1">IFERROR(__xludf.DUMMYFUNCTION("""COMPUTED_VALUE"""),"KDD")</f>
        <v>KDD</v>
      </c>
      <c r="C10" s="46" t="str">
        <f ca="1">IFERROR(__xludf.DUMMYFUNCTION("""COMPUTED_VALUE"""),"ACM SIGKDD conference on Knowledge Discovery and Data Mining")</f>
        <v>ACM SIGKDD conference on Knowledge Discovery and Data Mining</v>
      </c>
      <c r="D10" s="60">
        <f ca="1">IFERROR(__xludf.DUMMYFUNCTION("""COMPUTED_VALUE"""),77)</f>
        <v>77</v>
      </c>
      <c r="E10" s="60" t="str">
        <f ca="1">IFERROR(__xludf.DUMMYFUNCTION("""COMPUTED_VALUE"""),"https://scholar.google.es/citations?hl=en&amp;vq=eng_datamininganalysis&amp;view_op=list_hcore&amp;venue=DxPOk84pRIIJ.2018")</f>
        <v>https://scholar.google.es/citations?hl=en&amp;vq=eng_datamininganalysis&amp;view_op=list_hcore&amp;venue=DxPOk84pRIIJ.2018</v>
      </c>
    </row>
    <row r="11" spans="1:25" ht="25.5" customHeight="1">
      <c r="A11" s="67" t="str">
        <f ca="1">IFERROR(__xludf.DUMMYFUNCTION("""COMPUTED_VALUE"""),"Top 10")</f>
        <v>Top 10</v>
      </c>
      <c r="B11" s="46" t="str">
        <f ca="1">IFERROR(__xludf.DUMMYFUNCTION("""COMPUTED_VALUE"""),"CIDR")</f>
        <v>CIDR</v>
      </c>
      <c r="C11" s="46" t="str">
        <f ca="1">IFERROR(__xludf.DUMMYFUNCTION("""COMPUTED_VALUE"""),"Biennial Conference on Innovative Data Systems Research")</f>
        <v>Biennial Conference on Innovative Data Systems Research</v>
      </c>
      <c r="D11" s="60">
        <f ca="1">IFERROR(__xludf.DUMMYFUNCTION("""COMPUTED_VALUE"""),30)</f>
        <v>30</v>
      </c>
      <c r="E11" s="60" t="str">
        <f ca="1">IFERROR(__xludf.DUMMYFUNCTION("""COMPUTED_VALUE"""),"https://scholar.google.com/citations?hl=en&amp;view_op=list_hcore&amp;venue=5zblDmoFLZAJ.2018")</f>
        <v>https://scholar.google.com/citations?hl=en&amp;view_op=list_hcore&amp;venue=5zblDmoFLZAJ.2018</v>
      </c>
    </row>
    <row r="12" spans="1:25" ht="25.5" customHeight="1">
      <c r="A12" s="70" t="str">
        <f ca="1">IFERROR(__xludf.DUMMYFUNCTION("""COMPUTED_VALUE"""),"Top 20")</f>
        <v>Top 20</v>
      </c>
      <c r="B12" s="46" t="str">
        <f ca="1">IFERROR(__xludf.DUMMYFUNCTION("""COMPUTED_VALUE"""),"ICDT")</f>
        <v>ICDT</v>
      </c>
      <c r="C12" s="46" t="str">
        <f ca="1">IFERROR(__xludf.DUMMYFUNCTION("""COMPUTED_VALUE"""),"International Conference on Database Theory")</f>
        <v>International Conference on Database Theory</v>
      </c>
      <c r="D12" s="60">
        <f ca="1">IFERROR(__xludf.DUMMYFUNCTION("""COMPUTED_VALUE"""),19)</f>
        <v>19</v>
      </c>
      <c r="E12" s="60" t="str">
        <f ca="1">IFERROR(__xludf.DUMMYFUNCTION("""COMPUTED_VALUE"""),"https://scholar.google.com/citations?hl=en&amp;view_op=list_hcore&amp;venue=BGvdky_UalUJ.2018")</f>
        <v>https://scholar.google.com/citations?hl=en&amp;view_op=list_hcore&amp;venue=BGvdky_UalUJ.2018</v>
      </c>
    </row>
    <row r="13" spans="1:25" ht="25.5" customHeight="1">
      <c r="A13" s="70" t="str">
        <f ca="1">IFERROR(__xludf.DUMMYFUNCTION("""COMPUTED_VALUE"""),"Top 20")</f>
        <v>Top 20</v>
      </c>
      <c r="B13" s="46" t="str">
        <f ca="1">IFERROR(__xludf.DUMMYFUNCTION("""COMPUTED_VALUE"""),"DASFAA")</f>
        <v>DASFAA</v>
      </c>
      <c r="C13" s="46" t="str">
        <f ca="1">IFERROR(__xludf.DUMMYFUNCTION("""COMPUTED_VALUE"""),"International Conference on Database Systems for Advanced Applications")</f>
        <v>International Conference on Database Systems for Advanced Applications</v>
      </c>
      <c r="D13" s="60">
        <f ca="1">IFERROR(__xludf.DUMMYFUNCTION("""COMPUTED_VALUE"""),16)</f>
        <v>16</v>
      </c>
      <c r="E13" s="60" t="str">
        <f ca="1">IFERROR(__xludf.DUMMYFUNCTION("""COMPUTED_VALUE"""),"https://scholar.google.com/citations?hl=en&amp;view_op=list_hcore&amp;venue=yD4mA_VATukJ.2018")</f>
        <v>https://scholar.google.com/citations?hl=en&amp;view_op=list_hcore&amp;venue=yD4mA_VATukJ.2018</v>
      </c>
    </row>
    <row r="14" spans="1:25" ht="25.5" customHeight="1">
      <c r="A14" s="70" t="str">
        <f ca="1">IFERROR(__xludf.DUMMYFUNCTION("""COMPUTED_VALUE"""),"Top 20")</f>
        <v>Top 20</v>
      </c>
      <c r="B14" s="46" t="str">
        <f ca="1">IFERROR(__xludf.DUMMYFUNCTION("""COMPUTED_VALUE"""),"WWW")</f>
        <v>WWW</v>
      </c>
      <c r="C14" s="46" t="str">
        <f ca="1">IFERROR(__xludf.DUMMYFUNCTION("""COMPUTED_VALUE"""),"International World Wide Web Conferences")</f>
        <v>International World Wide Web Conferences</v>
      </c>
      <c r="D14" s="46">
        <f ca="1">IFERROR(__xludf.DUMMYFUNCTION("""COMPUTED_VALUE"""),76)</f>
        <v>76</v>
      </c>
      <c r="E14" s="60" t="str">
        <f ca="1">IFERROR(__xludf.DUMMYFUNCTION("""COMPUTED_VALUE"""),"https://scholar.google.com/citations?hl=en&amp;vq=eng_databasesinformationsystems&amp;view_op=list_hcore&amp;venue=yChjqNpzfk0J.2018")</f>
        <v>https://scholar.google.com/citations?hl=en&amp;vq=eng_databasesinformationsystems&amp;view_op=list_hcore&amp;venue=yChjqNpzfk0J.2018</v>
      </c>
    </row>
    <row r="15" spans="1:25" ht="25.5" customHeight="1">
      <c r="A15" s="70" t="str">
        <f ca="1">IFERROR(__xludf.DUMMYFUNCTION("""COMPUTED_VALUE"""),"Top 20")</f>
        <v>Top 20</v>
      </c>
      <c r="B15" s="60" t="str">
        <f ca="1">IFERROR(__xludf.DUMMYFUNCTION("""COMPUTED_VALUE"""),"IDEAS")</f>
        <v>IDEAS</v>
      </c>
      <c r="C15" s="60" t="str">
        <f ca="1">IFERROR(__xludf.DUMMYFUNCTION("""COMPUTED_VALUE"""),"International Database Engineering &amp; Applications Symposium")</f>
        <v>International Database Engineering &amp; Applications Symposium</v>
      </c>
      <c r="D15" s="60">
        <f ca="1">IFERROR(__xludf.DUMMYFUNCTION("""COMPUTED_VALUE"""),12)</f>
        <v>12</v>
      </c>
      <c r="E15" s="60" t="str">
        <f ca="1">IFERROR(__xludf.DUMMYFUNCTION("""COMPUTED_VALUE"""),"https://scholar.google.com/citations?hl=en&amp;view_op=list_hcore&amp;venue=ykfjskFukgEJ.2018")</f>
        <v>https://scholar.google.com/citations?hl=en&amp;view_op=list_hcore&amp;venue=ykfjskFukgEJ.2018</v>
      </c>
    </row>
    <row r="16" spans="1:25" ht="25.5" customHeight="1">
      <c r="A16" s="70" t="str">
        <f ca="1">IFERROR(__xludf.DUMMYFUNCTION("""COMPUTED_VALUE"""),"Top 20")</f>
        <v>Top 20</v>
      </c>
      <c r="B16" s="60" t="str">
        <f ca="1">IFERROR(__xludf.DUMMYFUNCTION("""COMPUTED_VALUE"""),"DEXA")</f>
        <v>DEXA</v>
      </c>
      <c r="C16" s="60" t="str">
        <f ca="1">IFERROR(__xludf.DUMMYFUNCTION("""COMPUTED_VALUE"""),"Conference on Database and Expert Systems Applications")</f>
        <v>Conference on Database and Expert Systems Applications</v>
      </c>
      <c r="D16" s="60">
        <f ca="1">IFERROR(__xludf.DUMMYFUNCTION("""COMPUTED_VALUE"""),12)</f>
        <v>12</v>
      </c>
      <c r="E16" s="60" t="str">
        <f ca="1">IFERROR(__xludf.DUMMYFUNCTION("""COMPUTED_VALUE"""),"https://scholar.google.com/citations?hl=en&amp;view_op=list_hcore&amp;venue=2M02lZ1WL6IJ.2018")</f>
        <v>https://scholar.google.com/citations?hl=en&amp;view_op=list_hcore&amp;venue=2M02lZ1WL6IJ.2018</v>
      </c>
    </row>
    <row r="17" spans="1:5" ht="25.5" customHeight="1">
      <c r="A17" s="70" t="str">
        <f ca="1">IFERROR(__xludf.DUMMYFUNCTION("""COMPUTED_VALUE"""),"Top 20")</f>
        <v>Top 20</v>
      </c>
      <c r="B17" s="60" t="str">
        <f ca="1">IFERROR(__xludf.DUMMYFUNCTION("""COMPUTED_VALUE"""),"ADBIS")</f>
        <v>ADBIS</v>
      </c>
      <c r="C17" s="60" t="str">
        <f ca="1">IFERROR(__xludf.DUMMYFUNCTION("""COMPUTED_VALUE"""),"Advances in Databases and Information Systems")</f>
        <v>Advances in Databases and Information Systems</v>
      </c>
      <c r="D17" s="60">
        <f ca="1">IFERROR(__xludf.DUMMYFUNCTION("""COMPUTED_VALUE"""),13)</f>
        <v>13</v>
      </c>
      <c r="E17" s="60" t="str">
        <f ca="1">IFERROR(__xludf.DUMMYFUNCTION("""COMPUTED_VALUE"""),"https://scholar.google.com/citations?hl=en&amp;view_op=list_hcore&amp;venue=pEYfHFCSslcJ.2018")</f>
        <v>https://scholar.google.com/citations?hl=en&amp;view_op=list_hcore&amp;venue=pEYfHFCSslcJ.2018</v>
      </c>
    </row>
    <row r="18" spans="1:5" ht="25.5" customHeight="1">
      <c r="A18" s="70" t="str">
        <f ca="1">IFERROR(__xludf.DUMMYFUNCTION("""COMPUTED_VALUE"""),"Top 20")</f>
        <v>Top 20</v>
      </c>
      <c r="B18" s="46" t="str">
        <f ca="1">IFERROR(__xludf.DUMMYFUNCTION("""COMPUTED_VALUE"""),"KDMILE")</f>
        <v>KDMILE</v>
      </c>
      <c r="C18" s="46" t="str">
        <f ca="1">IFERROR(__xludf.DUMMYFUNCTION("""COMPUTED_VALUE"""),"Symposium on Knowledge Discovery, Mining and Learning")</f>
        <v>Symposium on Knowledge Discovery, Mining and Learning</v>
      </c>
      <c r="D18" s="60"/>
      <c r="E18" s="60"/>
    </row>
    <row r="19" spans="1:5" ht="25.5" customHeight="1">
      <c r="A19" s="70" t="str">
        <f ca="1">IFERROR(__xludf.DUMMYFUNCTION("""COMPUTED_VALUE"""),"Top 20")</f>
        <v>Top 20</v>
      </c>
      <c r="B19" s="46" t="str">
        <f ca="1">IFERROR(__xludf.DUMMYFUNCTION("""COMPUTED_VALUE"""),"SSDBM")</f>
        <v>SSDBM</v>
      </c>
      <c r="C19" s="46" t="str">
        <f ca="1">IFERROR(__xludf.DUMMYFUNCTION("""COMPUTED_VALUE"""),"International Conference on Scientific and Statistical Database Management")</f>
        <v>International Conference on Scientific and Statistical Database Management</v>
      </c>
      <c r="D19" s="60">
        <f ca="1">IFERROR(__xludf.DUMMYFUNCTION("""COMPUTED_VALUE"""),16)</f>
        <v>16</v>
      </c>
      <c r="E19" s="60" t="str">
        <f ca="1">IFERROR(__xludf.DUMMYFUNCTION("""COMPUTED_VALUE"""),"https://scholar.google.com/citations?hl=en&amp;view_op=list_hcore&amp;venue=w_KC2fvJJQEJ.2018")</f>
        <v>https://scholar.google.com/citations?hl=en&amp;view_op=list_hcore&amp;venue=w_KC2fvJJQEJ.2018</v>
      </c>
    </row>
    <row r="20" spans="1:5" ht="25.5" customHeight="1">
      <c r="A20" s="70" t="str">
        <f ca="1">IFERROR(__xludf.DUMMYFUNCTION("""COMPUTED_VALUE"""),"Top 20")</f>
        <v>Top 20</v>
      </c>
      <c r="B20" s="46" t="str">
        <f ca="1">IFERROR(__xludf.DUMMYFUNCTION("""COMPUTED_VALUE"""),"MDM")</f>
        <v>MDM</v>
      </c>
      <c r="C20" s="46" t="str">
        <f ca="1">IFERROR(__xludf.DUMMYFUNCTION("""COMPUTED_VALUE"""),"IEEE International Conference on Mobile Data Management")</f>
        <v>IEEE International Conference on Mobile Data Management</v>
      </c>
      <c r="D20" s="60">
        <f ca="1">IFERROR(__xludf.DUMMYFUNCTION("""COMPUTED_VALUE"""),21)</f>
        <v>21</v>
      </c>
      <c r="E20" s="60" t="str">
        <f ca="1">IFERROR(__xludf.DUMMYFUNCTION("""COMPUTED_VALUE"""),"https://scholar.google.com/citations?hl=en&amp;view_op=list_hcore&amp;venue=sGmafh2RqU8J.2018")</f>
        <v>https://scholar.google.com/citations?hl=en&amp;view_op=list_hcore&amp;venue=sGmafh2RqU8J.2018</v>
      </c>
    </row>
    <row r="21" spans="1:5" ht="25.5" customHeight="1">
      <c r="A21" s="70" t="str">
        <f ca="1">IFERROR(__xludf.DUMMYFUNCTION("""COMPUTED_VALUE"""),"Top 20")</f>
        <v>Top 20</v>
      </c>
      <c r="B21" s="46" t="str">
        <f ca="1">IFERROR(__xludf.DUMMYFUNCTION("""COMPUTED_VALUE"""),"DATE")</f>
        <v>DATE</v>
      </c>
      <c r="C21" s="46" t="str">
        <f ca="1">IFERROR(__xludf.DUMMYFUNCTION("""COMPUTED_VALUE"""),"Design, Automation &amp; Test in Europe Conference &amp; Exhibition")</f>
        <v>Design, Automation &amp; Test in Europe Conference &amp; Exhibition</v>
      </c>
      <c r="D21" s="60">
        <f ca="1">IFERROR(__xludf.DUMMYFUNCTION("""COMPUTED_VALUE"""),43)</f>
        <v>43</v>
      </c>
      <c r="E21" s="60" t="str">
        <f ca="1">IFERROR(__xludf.DUMMYFUNCTION("""COMPUTED_VALUE"""),"https://scholar.google.com/citations?hl=en&amp;view_op=list_hcore&amp;venue=ibKkJ-6gcSEJ.2018")</f>
        <v>https://scholar.google.com/citations?hl=en&amp;view_op=list_hcore&amp;venue=ibKkJ-6gcSEJ.2018</v>
      </c>
    </row>
    <row r="22" spans="1:5" ht="25.5" customHeight="1">
      <c r="A22" s="73" t="str">
        <f ca="1">IFERROR(__xludf.DUMMYFUNCTION("""COMPUTED_VALUE"""),"Eventos da Área")</f>
        <v>Eventos da Área</v>
      </c>
      <c r="B22" s="46" t="str">
        <f ca="1">IFERROR(__xludf.DUMMYFUNCTION("""COMPUTED_VALUE"""),"ISWC")</f>
        <v>ISWC</v>
      </c>
      <c r="C22" s="46" t="str">
        <f ca="1">IFERROR(__xludf.DUMMYFUNCTION("""COMPUTED_VALUE"""),"ISWC - International Semantic Web Conference")</f>
        <v>ISWC - International Semantic Web Conference</v>
      </c>
      <c r="D22" s="60">
        <f ca="1">IFERROR(__xludf.DUMMYFUNCTION("""COMPUTED_VALUE"""),41)</f>
        <v>41</v>
      </c>
      <c r="E22" s="60" t="str">
        <f ca="1">IFERROR(__xludf.DUMMYFUNCTION("""COMPUTED_VALUE"""),"https://scholar.google.com/citations?hl=en&amp;view_op=list_hcore&amp;venue=AETH84_wOIQJ.2018")</f>
        <v>https://scholar.google.com/citations?hl=en&amp;view_op=list_hcore&amp;venue=AETH84_wOIQJ.2018</v>
      </c>
    </row>
    <row r="23" spans="1:5" ht="25.5" customHeight="1">
      <c r="A23" s="73" t="str">
        <f ca="1">IFERROR(__xludf.DUMMYFUNCTION("""COMPUTED_VALUE"""),"Eventos da Área")</f>
        <v>Eventos da Área</v>
      </c>
      <c r="B23" s="46" t="str">
        <f ca="1">IFERROR(__xludf.DUMMYFUNCTION("""COMPUTED_VALUE"""),"CCGRID")</f>
        <v>CCGRID</v>
      </c>
      <c r="C23" s="46" t="str">
        <f ca="1">IFERROR(__xludf.DUMMYFUNCTION("""COMPUTED_VALUE"""),"IEEE/ACM International Symposium on Cluster, Cloud, and Grid Computing")</f>
        <v>IEEE/ACM International Symposium on Cluster, Cloud, and Grid Computing</v>
      </c>
      <c r="D23" s="60">
        <f ca="1">IFERROR(__xludf.DUMMYFUNCTION("""COMPUTED_VALUE"""),33)</f>
        <v>33</v>
      </c>
      <c r="E23" s="60" t="str">
        <f ca="1">IFERROR(__xludf.DUMMYFUNCTION("""COMPUTED_VALUE"""),"https://scholar.google.com/citations?hl=en&amp;view_op=list_hcore&amp;venue=_IeLSKDu4j0J.2018")</f>
        <v>https://scholar.google.com/citations?hl=en&amp;view_op=list_hcore&amp;venue=_IeLSKDu4j0J.2018</v>
      </c>
    </row>
    <row r="24" spans="1:5" ht="25.5" customHeight="1">
      <c r="A24" s="73" t="str">
        <f ca="1">IFERROR(__xludf.DUMMYFUNCTION("""COMPUTED_VALUE"""),"Eventos da Área")</f>
        <v>Eventos da Área</v>
      </c>
      <c r="B24" s="46" t="str">
        <f ca="1">IFERROR(__xludf.DUMMYFUNCTION("""COMPUTED_VALUE"""),"ACM SIGSPATIAL")</f>
        <v>ACM SIGSPATIAL</v>
      </c>
      <c r="C24" s="46" t="str">
        <f ca="1">IFERROR(__xludf.DUMMYFUNCTION("""COMPUTED_VALUE"""),"ACM International Conference on Advances in Geographic Information Systems")</f>
        <v>ACM International Conference on Advances in Geographic Information Systems</v>
      </c>
      <c r="D24" s="60">
        <f ca="1">IFERROR(__xludf.DUMMYFUNCTION("""COMPUTED_VALUE"""),27)</f>
        <v>27</v>
      </c>
      <c r="E24" s="60" t="str">
        <f ca="1">IFERROR(__xludf.DUMMYFUNCTION("""COMPUTED_VALUE"""),"https://scholar.google.com/citations?hl=en&amp;view_op=list_hcore&amp;venue=o8w3q5IHx5MJ.2018")</f>
        <v>https://scholar.google.com/citations?hl=en&amp;view_op=list_hcore&amp;venue=o8w3q5IHx5MJ.2018</v>
      </c>
    </row>
    <row r="25" spans="1:5" ht="25.5" customHeight="1">
      <c r="A25" s="73" t="str">
        <f ca="1">IFERROR(__xludf.DUMMYFUNCTION("""COMPUTED_VALUE"""),"Eventos da Área")</f>
        <v>Eventos da Área</v>
      </c>
      <c r="B25" s="46" t="str">
        <f ca="1">IFERROR(__xludf.DUMMYFUNCTION("""COMPUTED_VALUE"""),"UCC")</f>
        <v>UCC</v>
      </c>
      <c r="C25" s="46" t="str">
        <f ca="1">IFERROR(__xludf.DUMMYFUNCTION("""COMPUTED_VALUE"""),"IEEE International Conference on Utility and Cloud Computing")</f>
        <v>IEEE International Conference on Utility and Cloud Computing</v>
      </c>
      <c r="D25" s="60">
        <f ca="1">IFERROR(__xludf.DUMMYFUNCTION("""COMPUTED_VALUE"""),20)</f>
        <v>20</v>
      </c>
      <c r="E25" s="60" t="str">
        <f ca="1">IFERROR(__xludf.DUMMYFUNCTION("""COMPUTED_VALUE"""),"https://scholar.google.com/citations?hl=en&amp;view_op=list_hcore&amp;venue=gCzn4TRHFGQJ.2018")</f>
        <v>https://scholar.google.com/citations?hl=en&amp;view_op=list_hcore&amp;venue=gCzn4TRHFGQJ.2018</v>
      </c>
    </row>
    <row r="26" spans="1:5" ht="25.5" customHeight="1">
      <c r="A26" s="73" t="str">
        <f ca="1">IFERROR(__xludf.DUMMYFUNCTION("""COMPUTED_VALUE"""),"Eventos da Área")</f>
        <v>Eventos da Área</v>
      </c>
      <c r="B26" s="46" t="str">
        <f ca="1">IFERROR(__xludf.DUMMYFUNCTION("""COMPUTED_VALUE"""),"SAC")</f>
        <v>SAC</v>
      </c>
      <c r="C26" s="46" t="str">
        <f ca="1">IFERROR(__xludf.DUMMYFUNCTION("""COMPUTED_VALUE"""),"ACM Symposium on Applied Computing")</f>
        <v>ACM Symposium on Applied Computing</v>
      </c>
      <c r="D26" s="60">
        <f ca="1">IFERROR(__xludf.DUMMYFUNCTION("""COMPUTED_VALUE"""),30)</f>
        <v>30</v>
      </c>
      <c r="E26" s="60" t="str">
        <f ca="1">IFERROR(__xludf.DUMMYFUNCTION("""COMPUTED_VALUE"""),"https://scholar.google.com/citations?hl=en&amp;view_op=list_hcore&amp;venue=eLhWa3qzEDsJ.2018")</f>
        <v>https://scholar.google.com/citations?hl=en&amp;view_op=list_hcore&amp;venue=eLhWa3qzEDsJ.2018</v>
      </c>
    </row>
    <row r="27" spans="1:5" ht="25.5" customHeight="1">
      <c r="A27" s="73" t="str">
        <f ca="1">IFERROR(__xludf.DUMMYFUNCTION("""COMPUTED_VALUE"""),"Eventos da Área")</f>
        <v>Eventos da Área</v>
      </c>
      <c r="B27" s="46" t="str">
        <f ca="1">IFERROR(__xludf.DUMMYFUNCTION("""COMPUTED_VALUE"""),"CLOUD")</f>
        <v>CLOUD</v>
      </c>
      <c r="C27" s="46" t="str">
        <f ca="1">IFERROR(__xludf.DUMMYFUNCTION("""COMPUTED_VALUE"""),"IEEE International Conference on Cloud Computing")</f>
        <v>IEEE International Conference on Cloud Computing</v>
      </c>
      <c r="D27" s="60">
        <f ca="1">IFERROR(__xludf.DUMMYFUNCTION("""COMPUTED_VALUE"""),31)</f>
        <v>31</v>
      </c>
      <c r="E27" s="60" t="str">
        <f ca="1">IFERROR(__xludf.DUMMYFUNCTION("""COMPUTED_VALUE"""),"https://scholar.google.com/citations?hl=en&amp;view_op=list_hcore&amp;venue=ioohKoS5imcJ.2018")</f>
        <v>https://scholar.google.com/citations?hl=en&amp;view_op=list_hcore&amp;venue=ioohKoS5imcJ.2018</v>
      </c>
    </row>
    <row r="28" spans="1:5" ht="25.5" customHeight="1">
      <c r="A28" s="73" t="str">
        <f ca="1">IFERROR(__xludf.DUMMYFUNCTION("""COMPUTED_VALUE"""),"Eventos da Área")</f>
        <v>Eventos da Área</v>
      </c>
      <c r="B28" s="46" t="str">
        <f ca="1">IFERROR(__xludf.DUMMYFUNCTION("""COMPUTED_VALUE"""),"CLOUDCOM")</f>
        <v>CLOUDCOM</v>
      </c>
      <c r="C28" s="46" t="str">
        <f ca="1">IFERROR(__xludf.DUMMYFUNCTION("""COMPUTED_VALUE"""),"IEEE International Conference on Cloud Computing Technology and Science")</f>
        <v>IEEE International Conference on Cloud Computing Technology and Science</v>
      </c>
      <c r="D28" s="60">
        <f ca="1">IFERROR(__xludf.DUMMYFUNCTION("""COMPUTED_VALUE"""),25)</f>
        <v>25</v>
      </c>
      <c r="E28" s="60" t="str">
        <f ca="1">IFERROR(__xludf.DUMMYFUNCTION("""COMPUTED_VALUE"""),"https://scholar.google.com/citations?hl=en&amp;view_op=list_hcore&amp;venue=aNZ314HiR4YJ.2018")</f>
        <v>https://scholar.google.com/citations?hl=en&amp;view_op=list_hcore&amp;venue=aNZ314HiR4YJ.2018</v>
      </c>
    </row>
    <row r="29" spans="1:5" ht="25.5" customHeight="1">
      <c r="A29" s="73" t="str">
        <f ca="1">IFERROR(__xludf.DUMMYFUNCTION("""COMPUTED_VALUE"""),"Eventos da Área")</f>
        <v>Eventos da Área</v>
      </c>
      <c r="B29" s="46" t="str">
        <f ca="1">IFERROR(__xludf.DUMMYFUNCTION("""COMPUTED_VALUE"""),"IEEE eScience")</f>
        <v>IEEE eScience</v>
      </c>
      <c r="C29" s="46" t="str">
        <f ca="1">IFERROR(__xludf.DUMMYFUNCTION("""COMPUTED_VALUE"""),"IEEE International eScience Conference")</f>
        <v>IEEE International eScience Conference</v>
      </c>
      <c r="D29" s="60">
        <f ca="1">IFERROR(__xludf.DUMMYFUNCTION("""COMPUTED_VALUE"""),13)</f>
        <v>13</v>
      </c>
      <c r="E29" s="60" t="str">
        <f ca="1">IFERROR(__xludf.DUMMYFUNCTION("""COMPUTED_VALUE"""),"https://scholar.google.com/citations?hl=en&amp;view_op=list_hcore&amp;venue=6RxgACAtCdcJ.2018")</f>
        <v>https://scholar.google.com/citations?hl=en&amp;view_op=list_hcore&amp;venue=6RxgACAtCdcJ.2018</v>
      </c>
    </row>
    <row r="30" spans="1:5" ht="25.5" customHeight="1">
      <c r="A30" s="73" t="str">
        <f ca="1">IFERROR(__xludf.DUMMYFUNCTION("""COMPUTED_VALUE"""),"Eventos da Área")</f>
        <v>Eventos da Área</v>
      </c>
      <c r="B30" s="46" t="str">
        <f ca="1">IFERROR(__xludf.DUMMYFUNCTION("""COMPUTED_VALUE"""),"ICEIS")</f>
        <v>ICEIS</v>
      </c>
      <c r="C30" s="46" t="str">
        <f ca="1">IFERROR(__xludf.DUMMYFUNCTION("""COMPUTED_VALUE"""),"International Conference on Enterprise Information Systems")</f>
        <v>International Conference on Enterprise Information Systems</v>
      </c>
      <c r="D30" s="60">
        <f ca="1">IFERROR(__xludf.DUMMYFUNCTION("""COMPUTED_VALUE"""),14)</f>
        <v>14</v>
      </c>
      <c r="E30" s="60" t="str">
        <f ca="1">IFERROR(__xludf.DUMMYFUNCTION("""COMPUTED_VALUE"""),"https://scholar.google.com/citations?hl=en&amp;view_op=list_hcore&amp;venue=zsGWp1QJr3AJ.2018")</f>
        <v>https://scholar.google.com/citations?hl=en&amp;view_op=list_hcore&amp;venue=zsGWp1QJr3AJ.2018</v>
      </c>
    </row>
    <row r="31" spans="1:5" ht="25.5" customHeight="1">
      <c r="A31" s="73" t="str">
        <f ca="1">IFERROR(__xludf.DUMMYFUNCTION("""COMPUTED_VALUE"""),"Eventos da Área")</f>
        <v>Eventos da Área</v>
      </c>
      <c r="B31" s="46" t="str">
        <f ca="1">IFERROR(__xludf.DUMMYFUNCTION("""COMPUTED_VALUE"""),"CLOSER")</f>
        <v>CLOSER</v>
      </c>
      <c r="C31" s="46" t="str">
        <f ca="1">IFERROR(__xludf.DUMMYFUNCTION("""COMPUTED_VALUE"""),"International Conference on Cloud Computing and Services Science")</f>
        <v>International Conference on Cloud Computing and Services Science</v>
      </c>
      <c r="D31" s="60">
        <f ca="1">IFERROR(__xludf.DUMMYFUNCTION("""COMPUTED_VALUE"""),16)</f>
        <v>16</v>
      </c>
      <c r="E31" s="60" t="str">
        <f ca="1">IFERROR(__xludf.DUMMYFUNCTION("""COMPUTED_VALUE"""),"https://scholar.google.com/citations?hl=en&amp;view_op=list_hcore&amp;venue=hltkuBaF_uEJ.2018")</f>
        <v>https://scholar.google.com/citations?hl=en&amp;view_op=list_hcore&amp;venue=hltkuBaF_uEJ.2018</v>
      </c>
    </row>
    <row r="32" spans="1:5" ht="25.5" customHeight="1">
      <c r="A32" s="73" t="str">
        <f ca="1">IFERROR(__xludf.DUMMYFUNCTION("""COMPUTED_VALUE"""),"Eventos da Área")</f>
        <v>Eventos da Área</v>
      </c>
      <c r="B32" s="46" t="str">
        <f ca="1">IFERROR(__xludf.DUMMYFUNCTION("""COMPUTED_VALUE"""),"ICTSS")</f>
        <v>ICTSS</v>
      </c>
      <c r="C32" s="46" t="str">
        <f ca="1">IFERROR(__xludf.DUMMYFUNCTION("""COMPUTED_VALUE"""),"IFIP Int. Conf. on Testing Software and Systems")</f>
        <v>IFIP Int. Conf. on Testing Software and Systems</v>
      </c>
      <c r="D32" s="60"/>
      <c r="E32" s="60"/>
    </row>
    <row r="33" spans="1:5" ht="25.5" customHeight="1">
      <c r="A33" s="73" t="str">
        <f ca="1">IFERROR(__xludf.DUMMYFUNCTION("""COMPUTED_VALUE"""),"Eventos da Área")</f>
        <v>Eventos da Área</v>
      </c>
      <c r="B33" s="46" t="str">
        <f ca="1">IFERROR(__xludf.DUMMYFUNCTION("""COMPUTED_VALUE"""),"SISAP")</f>
        <v>SISAP</v>
      </c>
      <c r="C33" s="46" t="str">
        <f ca="1">IFERROR(__xludf.DUMMYFUNCTION("""COMPUTED_VALUE"""),"International Conference on Similarity Search and Applications")</f>
        <v>International Conference on Similarity Search and Applications</v>
      </c>
      <c r="D33" s="60">
        <f ca="1">IFERROR(__xludf.DUMMYFUNCTION("""COMPUTED_VALUE"""),10)</f>
        <v>10</v>
      </c>
      <c r="E33" s="60" t="str">
        <f ca="1">IFERROR(__xludf.DUMMYFUNCTION("""COMPUTED_VALUE"""),"https://scholar.google.com/citations?hl=en&amp;view_op=list_hcore&amp;venue=XdShTT6W3h0J.2018")</f>
        <v>https://scholar.google.com/citations?hl=en&amp;view_op=list_hcore&amp;venue=XdShTT6W3h0J.2018</v>
      </c>
    </row>
    <row r="34" spans="1:5" ht="25.5" customHeight="1">
      <c r="A34" s="73" t="str">
        <f ca="1">IFERROR(__xludf.DUMMYFUNCTION("""COMPUTED_VALUE"""),"Eventos da Área")</f>
        <v>Eventos da Área</v>
      </c>
      <c r="B34" s="46" t="str">
        <f ca="1">IFERROR(__xludf.DUMMYFUNCTION("""COMPUTED_VALUE"""),"CBMS")</f>
        <v>CBMS</v>
      </c>
      <c r="C34" s="46" t="str">
        <f ca="1">IFERROR(__xludf.DUMMYFUNCTION("""COMPUTED_VALUE"""),"IEEE International Symposium on Computer-Based Medical Systems")</f>
        <v>IEEE International Symposium on Computer-Based Medical Systems</v>
      </c>
      <c r="D34" s="60">
        <f ca="1">IFERROR(__xludf.DUMMYFUNCTION("""COMPUTED_VALUE"""),16)</f>
        <v>16</v>
      </c>
      <c r="E34" s="60" t="str">
        <f ca="1">IFERROR(__xludf.DUMMYFUNCTION("""COMPUTED_VALUE"""),"https://scholar.google.com/citations?hl=en&amp;view_op=list_hcore&amp;venue=cFvi1RZjX1gJ.2018")</f>
        <v>https://scholar.google.com/citations?hl=en&amp;view_op=list_hcore&amp;venue=cFvi1RZjX1gJ.2018</v>
      </c>
    </row>
    <row r="35" spans="1:5" ht="25.5" customHeight="1">
      <c r="A35" s="73" t="str">
        <f ca="1">IFERROR(__xludf.DUMMYFUNCTION("""COMPUTED_VALUE"""),"Eventos da Área")</f>
        <v>Eventos da Área</v>
      </c>
      <c r="B35" s="46" t="str">
        <f ca="1">IFERROR(__xludf.DUMMYFUNCTION("""COMPUTED_VALUE"""),"SDM")</f>
        <v>SDM</v>
      </c>
      <c r="C35" s="46" t="str">
        <f ca="1">IFERROR(__xludf.DUMMYFUNCTION("""COMPUTED_VALUE"""),"SIAM International Conference on Data Mining")</f>
        <v>SIAM International Conference on Data Mining</v>
      </c>
      <c r="D35" s="60">
        <f ca="1">IFERROR(__xludf.DUMMYFUNCTION("""COMPUTED_VALUE"""),33)</f>
        <v>33</v>
      </c>
      <c r="E35" s="60" t="str">
        <f ca="1">IFERROR(__xludf.DUMMYFUNCTION("""COMPUTED_VALUE"""),"https://scholar.google.com/citations?hl=en&amp;view_op=list_hcore&amp;venue=eM05sD1nEv4J.2018")</f>
        <v>https://scholar.google.com/citations?hl=en&amp;view_op=list_hcore&amp;venue=eM05sD1nEv4J.2018</v>
      </c>
    </row>
    <row r="36" spans="1:5" ht="25.5" customHeight="1">
      <c r="A36" s="73" t="str">
        <f ca="1">IFERROR(__xludf.DUMMYFUNCTION("""COMPUTED_VALUE"""),"Eventos da Área")</f>
        <v>Eventos da Área</v>
      </c>
      <c r="B36" s="46" t="str">
        <f ca="1">IFERROR(__xludf.DUMMYFUNCTION("""COMPUTED_VALUE"""),"ICDM")</f>
        <v>ICDM</v>
      </c>
      <c r="C36" s="46" t="str">
        <f ca="1">IFERROR(__xludf.DUMMYFUNCTION("""COMPUTED_VALUE"""),"IEEE International Conference on Data Mining")</f>
        <v>IEEE International Conference on Data Mining</v>
      </c>
      <c r="D36" s="60">
        <f ca="1">IFERROR(__xludf.DUMMYFUNCTION("""COMPUTED_VALUE"""),37)</f>
        <v>37</v>
      </c>
      <c r="E36" s="60" t="str">
        <f ca="1">IFERROR(__xludf.DUMMYFUNCTION("""COMPUTED_VALUE"""),"https://scholar.google.com/citations?hl=en&amp;view_op=list_hcore&amp;venue=A0l3VPFKwDYJ.2018")</f>
        <v>https://scholar.google.com/citations?hl=en&amp;view_op=list_hcore&amp;venue=A0l3VPFKwDYJ.2018</v>
      </c>
    </row>
    <row r="37" spans="1:5" ht="25.5" customHeight="1">
      <c r="A37" s="73" t="str">
        <f ca="1">IFERROR(__xludf.DUMMYFUNCTION("""COMPUTED_VALUE"""),"Eventos da Área")</f>
        <v>Eventos da Área</v>
      </c>
      <c r="B37" s="46" t="str">
        <f ca="1">IFERROR(__xludf.DUMMYFUNCTION("""COMPUTED_VALUE"""),"ISM")</f>
        <v>ISM</v>
      </c>
      <c r="C37" s="46" t="str">
        <f ca="1">IFERROR(__xludf.DUMMYFUNCTION("""COMPUTED_VALUE"""),"IEEE International Symposium on Multimedia")</f>
        <v>IEEE International Symposium on Multimedia</v>
      </c>
      <c r="D37" s="60">
        <f ca="1">IFERROR(__xludf.DUMMYFUNCTION("""COMPUTED_VALUE"""),14)</f>
        <v>14</v>
      </c>
      <c r="E37" s="60" t="str">
        <f ca="1">IFERROR(__xludf.DUMMYFUNCTION("""COMPUTED_VALUE"""),"https://scholar.google.com/citations?hl=en&amp;view_op=list_hcore&amp;venue=np9OvZCkWLIJ.2018")</f>
        <v>https://scholar.google.com/citations?hl=en&amp;view_op=list_hcore&amp;venue=np9OvZCkWLIJ.2018</v>
      </c>
    </row>
    <row r="38" spans="1:5" ht="25.5" customHeight="1">
      <c r="A38" s="73" t="str">
        <f ca="1">IFERROR(__xludf.DUMMYFUNCTION("""COMPUTED_VALUE"""),"Eventos da Área")</f>
        <v>Eventos da Área</v>
      </c>
      <c r="B38" s="46" t="str">
        <f ca="1">IFERROR(__xludf.DUMMYFUNCTION("""COMPUTED_VALUE"""),"ICWSM")</f>
        <v>ICWSM</v>
      </c>
      <c r="C38" s="46" t="str">
        <f ca="1">IFERROR(__xludf.DUMMYFUNCTION("""COMPUTED_VALUE"""),"International Conference on Web and Social Media")</f>
        <v>International Conference on Web and Social Media</v>
      </c>
      <c r="D38" s="46">
        <f ca="1">IFERROR(__xludf.DUMMYFUNCTION("""COMPUTED_VALUE"""),53)</f>
        <v>53</v>
      </c>
      <c r="E38" s="60" t="str">
        <f ca="1">IFERROR(__xludf.DUMMYFUNCTION("""COMPUTED_VALUE"""),"https://scholar.google.com/citations?hl=en&amp;view_op=list_hcore&amp;venue=eH4qSzdbVtwJ.2018")</f>
        <v>https://scholar.google.com/citations?hl=en&amp;view_op=list_hcore&amp;venue=eH4qSzdbVtwJ.2018</v>
      </c>
    </row>
    <row r="39" spans="1:5" ht="25.5" customHeight="1">
      <c r="A39" s="73" t="str">
        <f ca="1">IFERROR(__xludf.DUMMYFUNCTION("""COMPUTED_VALUE"""),"Eventos da Área")</f>
        <v>Eventos da Área</v>
      </c>
      <c r="B39" s="60" t="str">
        <f ca="1">IFERROR(__xludf.DUMMYFUNCTION("""COMPUTED_VALUE"""),"SIGIR")</f>
        <v>SIGIR</v>
      </c>
      <c r="C39" s="46" t="str">
        <f ca="1">IFERROR(__xludf.DUMMYFUNCTION("""COMPUTED_VALUE"""),"ACM SIGIR Conference on Research and Development in Information Retrieval")</f>
        <v>ACM SIGIR Conference on Research and Development in Information Retrieval</v>
      </c>
      <c r="D39" s="46">
        <f ca="1">IFERROR(__xludf.DUMMYFUNCTION("""COMPUTED_VALUE"""),52)</f>
        <v>52</v>
      </c>
      <c r="E39" s="60" t="str">
        <f ca="1">IFERROR(__xludf.DUMMYFUNCTION("""COMPUTED_VALUE"""),"https://scholar.google.com/citations?hl=en&amp;view_op=list_hcore&amp;venue=Gf4FWVmkfbwJ.2018")</f>
        <v>https://scholar.google.com/citations?hl=en&amp;view_op=list_hcore&amp;venue=Gf4FWVmkfbwJ.2018</v>
      </c>
    </row>
    <row r="40" spans="1:5" ht="25.5" customHeight="1">
      <c r="A40" s="73" t="str">
        <f ca="1">IFERROR(__xludf.DUMMYFUNCTION("""COMPUTED_VALUE"""),"Eventos da Área")</f>
        <v>Eventos da Área</v>
      </c>
      <c r="B40" s="60" t="str">
        <f ca="1">IFERROR(__xludf.DUMMYFUNCTION("""COMPUTED_VALUE"""),"RECSYS")</f>
        <v>RECSYS</v>
      </c>
      <c r="C40" s="46" t="str">
        <f ca="1">IFERROR(__xludf.DUMMYFUNCTION("""COMPUTED_VALUE"""),"ACM Conference on Recommender Systems")</f>
        <v>ACM Conference on Recommender Systems</v>
      </c>
      <c r="D40" s="46">
        <f ca="1">IFERROR(__xludf.DUMMYFUNCTION("""COMPUTED_VALUE"""),40)</f>
        <v>40</v>
      </c>
      <c r="E40" s="60" t="str">
        <f ca="1">IFERROR(__xludf.DUMMYFUNCTION("""COMPUTED_VALUE"""),"https://scholar.google.com/citations?hl=en&amp;view_op=list_hcore&amp;venue=4-w_STT7RmEJ.2018")</f>
        <v>https://scholar.google.com/citations?hl=en&amp;view_op=list_hcore&amp;venue=4-w_STT7RmEJ.2018</v>
      </c>
    </row>
    <row r="41" spans="1:5" ht="25.5" customHeight="1">
      <c r="A41" s="73" t="str">
        <f ca="1">IFERROR(__xludf.DUMMYFUNCTION("""COMPUTED_VALUE"""),"Eventos da Área")</f>
        <v>Eventos da Área</v>
      </c>
      <c r="B41" s="46" t="str">
        <f ca="1">IFERROR(__xludf.DUMMYFUNCTION("""COMPUTED_VALUE"""),"ESWC")</f>
        <v>ESWC</v>
      </c>
      <c r="C41" s="46" t="str">
        <f ca="1">IFERROR(__xludf.DUMMYFUNCTION("""COMPUTED_VALUE"""),"European / Extended Semantic Web Conference")</f>
        <v>European / Extended Semantic Web Conference</v>
      </c>
      <c r="D41" s="60">
        <f ca="1">IFERROR(__xludf.DUMMYFUNCTION("""COMPUTED_VALUE"""),30)</f>
        <v>30</v>
      </c>
      <c r="E41" s="60" t="str">
        <f ca="1">IFERROR(__xludf.DUMMYFUNCTION("""COMPUTED_VALUE"""),"https://scholar.google.com/citations?hl=en&amp;view_op=list_hcore&amp;venue=mf0MeYwvqwoJ.2018")</f>
        <v>https://scholar.google.com/citations?hl=en&amp;view_op=list_hcore&amp;venue=mf0MeYwvqwoJ.2018</v>
      </c>
    </row>
    <row r="42" spans="1:5" ht="25.5" customHeight="1">
      <c r="A42" s="73" t="str">
        <f ca="1">IFERROR(__xludf.DUMMYFUNCTION("""COMPUTED_VALUE"""),"Eventos da Área")</f>
        <v>Eventos da Área</v>
      </c>
      <c r="B42" s="46" t="str">
        <f ca="1">IFERROR(__xludf.DUMMYFUNCTION("""COMPUTED_VALUE"""),"ECIR")</f>
        <v>ECIR</v>
      </c>
      <c r="C42" s="46" t="str">
        <f ca="1">IFERROR(__xludf.DUMMYFUNCTION("""COMPUTED_VALUE"""),"European Conference on Information Retrieval")</f>
        <v>European Conference on Information Retrieval</v>
      </c>
      <c r="D42" s="60">
        <f ca="1">IFERROR(__xludf.DUMMYFUNCTION("""COMPUTED_VALUE"""),26)</f>
        <v>26</v>
      </c>
      <c r="E42" s="60" t="str">
        <f ca="1">IFERROR(__xludf.DUMMYFUNCTION("""COMPUTED_VALUE"""),"https://scholar.google.com/citations?hl=en&amp;view_op=list_hcore&amp;venue=02SGYBvIz80J.2018")</f>
        <v>https://scholar.google.com/citations?hl=en&amp;view_op=list_hcore&amp;venue=02SGYBvIz80J.2018</v>
      </c>
    </row>
    <row r="43" spans="1:5" ht="25.5" customHeight="1">
      <c r="A43" s="73" t="str">
        <f ca="1">IFERROR(__xludf.DUMMYFUNCTION("""COMPUTED_VALUE"""),"Eventos da Área")</f>
        <v>Eventos da Área</v>
      </c>
      <c r="B43" s="46" t="str">
        <f ca="1">IFERROR(__xludf.DUMMYFUNCTION("""COMPUTED_VALUE"""),"ECIS")</f>
        <v>ECIS</v>
      </c>
      <c r="C43" s="46" t="str">
        <f ca="1">IFERROR(__xludf.DUMMYFUNCTION("""COMPUTED_VALUE"""),"European Conference on Information Systems")</f>
        <v>European Conference on Information Systems</v>
      </c>
      <c r="D43" s="60">
        <f ca="1">IFERROR(__xludf.DUMMYFUNCTION("""COMPUTED_VALUE"""),30)</f>
        <v>30</v>
      </c>
      <c r="E43" s="60" t="str">
        <f ca="1">IFERROR(__xludf.DUMMYFUNCTION("""COMPUTED_VALUE"""),"https://scholar.google.com/citations?hl=en&amp;view_op=list_hcore&amp;venue=dF8xpB0_PnwJ.2018")</f>
        <v>https://scholar.google.com/citations?hl=en&amp;view_op=list_hcore&amp;venue=dF8xpB0_PnwJ.2018</v>
      </c>
    </row>
    <row r="44" spans="1:5" ht="25.5" customHeight="1">
      <c r="A44" s="73" t="str">
        <f ca="1">IFERROR(__xludf.DUMMYFUNCTION("""COMPUTED_VALUE"""),"Eventos da Área")</f>
        <v>Eventos da Área</v>
      </c>
      <c r="B44" s="46" t="str">
        <f ca="1">IFERROR(__xludf.DUMMYFUNCTION("""COMPUTED_VALUE"""),"ECML")</f>
        <v>ECML</v>
      </c>
      <c r="C44" s="45" t="str">
        <f ca="1">IFERROR(__xludf.DUMMYFUNCTION("""COMPUTED_VALUE"""),"European Conference on Machine Learning and Principles and Practice of Knowledge Discovery in Databases")</f>
        <v>European Conference on Machine Learning and Principles and Practice of Knowledge Discovery in Databases</v>
      </c>
      <c r="D44" s="60">
        <f ca="1">IFERROR(__xludf.DUMMYFUNCTION("""COMPUTED_VALUE"""),30)</f>
        <v>30</v>
      </c>
      <c r="E44" s="60" t="str">
        <f ca="1">IFERROR(__xludf.DUMMYFUNCTION("""COMPUTED_VALUE"""),"https://scholar.google.com/citations?hl=en&amp;view_op=list_hcore&amp;venue=B_DfwWWmEnMJ.2018")</f>
        <v>https://scholar.google.com/citations?hl=en&amp;view_op=list_hcore&amp;venue=B_DfwWWmEnMJ.2018</v>
      </c>
    </row>
    <row r="45" spans="1:5" ht="25.5" customHeight="1">
      <c r="A45" s="73" t="str">
        <f ca="1">IFERROR(__xludf.DUMMYFUNCTION("""COMPUTED_VALUE"""),"Eventos da Área")</f>
        <v>Eventos da Área</v>
      </c>
      <c r="B45" s="46" t="str">
        <f ca="1">IFERROR(__xludf.DUMMYFUNCTION("""COMPUTED_VALUE"""),"WSDM")</f>
        <v>WSDM</v>
      </c>
      <c r="C45" s="46" t="str">
        <f ca="1">IFERROR(__xludf.DUMMYFUNCTION("""COMPUTED_VALUE"""),"ACM Conference International Conference on Web Search and Data Mining")</f>
        <v>ACM Conference International Conference on Web Search and Data Mining</v>
      </c>
      <c r="D45" s="60">
        <f ca="1">IFERROR(__xludf.DUMMYFUNCTION("""COMPUTED_VALUE"""),55)</f>
        <v>55</v>
      </c>
      <c r="E45" s="60" t="str">
        <f ca="1">IFERROR(__xludf.DUMMYFUNCTION("""COMPUTED_VALUE"""),"https://scholar.google.com/citations?hl=en&amp;view_op=list_hcore&amp;venue=6AbX1YWluE4J.2018")</f>
        <v>https://scholar.google.com/citations?hl=en&amp;view_op=list_hcore&amp;venue=6AbX1YWluE4J.2018</v>
      </c>
    </row>
    <row r="46" spans="1:5" ht="25.5" customHeight="1">
      <c r="A46" s="73" t="str">
        <f ca="1">IFERROR(__xludf.DUMMYFUNCTION("""COMPUTED_VALUE"""),"Eventos da Área")</f>
        <v>Eventos da Área</v>
      </c>
      <c r="B46" s="46" t="str">
        <f ca="1">IFERROR(__xludf.DUMMYFUNCTION("""COMPUTED_VALUE"""),"PAKDD")</f>
        <v>PAKDD</v>
      </c>
      <c r="C46" s="46" t="str">
        <f ca="1">IFERROR(__xludf.DUMMYFUNCTION("""COMPUTED_VALUE"""),"Pacific-Asia Conference on Knowledge Discovery and Data Mining")</f>
        <v>Pacific-Asia Conference on Knowledge Discovery and Data Mining</v>
      </c>
      <c r="D46" s="60">
        <f ca="1">IFERROR(__xludf.DUMMYFUNCTION("""COMPUTED_VALUE"""),23)</f>
        <v>23</v>
      </c>
      <c r="E46" s="60" t="str">
        <f ca="1">IFERROR(__xludf.DUMMYFUNCTION("""COMPUTED_VALUE"""),"https://scholar.google.com/citations?hl=en&amp;view_op=list_hcore&amp;venue=I9UJ598p80sJ.2018")</f>
        <v>https://scholar.google.com/citations?hl=en&amp;view_op=list_hcore&amp;venue=I9UJ598p80sJ.2018</v>
      </c>
    </row>
    <row r="47" spans="1:5" ht="25.5" customHeight="1">
      <c r="A47" s="73" t="str">
        <f ca="1">IFERROR(__xludf.DUMMYFUNCTION("""COMPUTED_VALUE"""),"Eventos da Área")</f>
        <v>Eventos da Área</v>
      </c>
      <c r="B47" s="46" t="str">
        <f ca="1">IFERROR(__xludf.DUMMYFUNCTION("""COMPUTED_VALUE"""),"BIGDATA")</f>
        <v>BIGDATA</v>
      </c>
      <c r="C47" s="46" t="str">
        <f ca="1">IFERROR(__xludf.DUMMYFUNCTION("""COMPUTED_VALUE"""),"IEEE International Conference on BigData")</f>
        <v>IEEE International Conference on BigData</v>
      </c>
      <c r="D47" s="60">
        <f ca="1">IFERROR(__xludf.DUMMYFUNCTION("""COMPUTED_VALUE"""),33)</f>
        <v>33</v>
      </c>
      <c r="E47" s="60" t="str">
        <f ca="1">IFERROR(__xludf.DUMMYFUNCTION("""COMPUTED_VALUE"""),"https://scholar.google.com/citations?hl=en&amp;view_op=list_hcore&amp;venue=5qcbaE0D5owJ.2018")</f>
        <v>https://scholar.google.com/citations?hl=en&amp;view_op=list_hcore&amp;venue=5qcbaE0D5owJ.2018</v>
      </c>
    </row>
    <row r="48" spans="1:5" ht="25.5" customHeight="1">
      <c r="A48" s="73" t="str">
        <f ca="1">IFERROR(__xludf.DUMMYFUNCTION("""COMPUTED_VALUE"""),"Eventos da Área")</f>
        <v>Eventos da Área</v>
      </c>
      <c r="B48" s="46" t="str">
        <f ca="1">IFERROR(__xludf.DUMMYFUNCTION("""COMPUTED_VALUE"""),"AMW")</f>
        <v>AMW</v>
      </c>
      <c r="C48" s="46" t="str">
        <f ca="1">IFERROR(__xludf.DUMMYFUNCTION("""COMPUTED_VALUE"""),"Alberto Mendelzon International Workshop on Foundations of Data Management")</f>
        <v>Alberto Mendelzon International Workshop on Foundations of Data Management</v>
      </c>
      <c r="D48" s="60">
        <f ca="1">IFERROR(__xludf.DUMMYFUNCTION("""COMPUTED_VALUE"""),10)</f>
        <v>10</v>
      </c>
      <c r="E48" s="60" t="str">
        <f ca="1">IFERROR(__xludf.DUMMYFUNCTION("""COMPUTED_VALUE"""),"https://scholar.google.com/citations?hl=en&amp;view_op=list_hcore&amp;venue=SD0zxFP7qD4J.2018")</f>
        <v>https://scholar.google.com/citations?hl=en&amp;view_op=list_hcore&amp;venue=SD0zxFP7qD4J.2018</v>
      </c>
    </row>
    <row r="49" spans="1:5" ht="25.5" customHeight="1">
      <c r="A49" s="73" t="str">
        <f ca="1">IFERROR(__xludf.DUMMYFUNCTION("""COMPUTED_VALUE"""),"Eventos da Área")</f>
        <v>Eventos da Área</v>
      </c>
      <c r="B49" s="46" t="str">
        <f ca="1">IFERROR(__xludf.DUMMYFUNCTION("""COMPUTED_VALUE"""),"CIDM")</f>
        <v>CIDM</v>
      </c>
      <c r="C49" s="46" t="str">
        <f ca="1">IFERROR(__xludf.DUMMYFUNCTION("""COMPUTED_VALUE"""),"Symposium on Computational Intelligence and Data Mining")</f>
        <v>Symposium on Computational Intelligence and Data Mining</v>
      </c>
      <c r="D49" s="60">
        <f ca="1">IFERROR(__xludf.DUMMYFUNCTION("""COMPUTED_VALUE"""),12)</f>
        <v>12</v>
      </c>
      <c r="E49" s="60" t="str">
        <f ca="1">IFERROR(__xludf.DUMMYFUNCTION("""COMPUTED_VALUE"""),"https://scholar.google.com/citations?hl=en&amp;view_op=list_hcore&amp;venue=hX0wD_ieYvEJ.2018")</f>
        <v>https://scholar.google.com/citations?hl=en&amp;view_op=list_hcore&amp;venue=hX0wD_ieYvEJ.2018</v>
      </c>
    </row>
    <row r="50" spans="1:5" ht="25.5" customHeight="1">
      <c r="A50" s="73" t="str">
        <f ca="1">IFERROR(__xludf.DUMMYFUNCTION("""COMPUTED_VALUE"""),"Eventos da Área")</f>
        <v>Eventos da Área</v>
      </c>
      <c r="B50" s="46" t="str">
        <f ca="1">IFERROR(__xludf.DUMMYFUNCTION("""COMPUTED_VALUE"""),"DAWAK")</f>
        <v>DAWAK</v>
      </c>
      <c r="C50" s="46" t="str">
        <f ca="1">IFERROR(__xludf.DUMMYFUNCTION("""COMPUTED_VALUE"""),"International Conference on Data Warehousing and Knowledge Discovery")</f>
        <v>International Conference on Data Warehousing and Knowledge Discovery</v>
      </c>
      <c r="D50" s="60">
        <f ca="1">IFERROR(__xludf.DUMMYFUNCTION("""COMPUTED_VALUE"""),14)</f>
        <v>14</v>
      </c>
      <c r="E50" s="60" t="str">
        <f ca="1">IFERROR(__xludf.DUMMYFUNCTION("""COMPUTED_VALUE"""),"https://scholar.google.com/citations?hl=en&amp;view_op=list_hcore&amp;venue=ZQqJjlSjnxAJ.2018")</f>
        <v>https://scholar.google.com/citations?hl=en&amp;view_op=list_hcore&amp;venue=ZQqJjlSjnxAJ.2018</v>
      </c>
    </row>
    <row r="51" spans="1:5" ht="25.5" customHeight="1">
      <c r="A51" s="73" t="str">
        <f ca="1">IFERROR(__xludf.DUMMYFUNCTION("""COMPUTED_VALUE"""),"Eventos da Área")</f>
        <v>Eventos da Área</v>
      </c>
      <c r="B51" s="46" t="str">
        <f ca="1">IFERROR(__xludf.DUMMYFUNCTION("""COMPUTED_VALUE"""),"DOLAP")</f>
        <v>DOLAP</v>
      </c>
      <c r="C51" s="46" t="str">
        <f ca="1">IFERROR(__xludf.DUMMYFUNCTION("""COMPUTED_VALUE"""),"International Workshop On Data Warehousing and OLAP")</f>
        <v>International Workshop On Data Warehousing and OLAP</v>
      </c>
      <c r="D51" s="60"/>
      <c r="E51" s="60"/>
    </row>
    <row r="52" spans="1:5" ht="25.5" customHeight="1">
      <c r="A52" s="73" t="str">
        <f ca="1">IFERROR(__xludf.DUMMYFUNCTION("""COMPUTED_VALUE"""),"Eventos da Área")</f>
        <v>Eventos da Área</v>
      </c>
      <c r="B52" s="46" t="str">
        <f ca="1">IFERROR(__xludf.DUMMYFUNCTION("""COMPUTED_VALUE"""),"DOCENG")</f>
        <v>DOCENG</v>
      </c>
      <c r="C52" s="46" t="str">
        <f ca="1">IFERROR(__xludf.DUMMYFUNCTION("""COMPUTED_VALUE"""),"ACM SIGWEB International Symposium on Document Engineering")</f>
        <v>ACM SIGWEB International Symposium on Document Engineering</v>
      </c>
      <c r="D52" s="60">
        <f ca="1">IFERROR(__xludf.DUMMYFUNCTION("""COMPUTED_VALUE"""),12)</f>
        <v>12</v>
      </c>
      <c r="E52" s="60" t="str">
        <f ca="1">IFERROR(__xludf.DUMMYFUNCTION("""COMPUTED_VALUE"""),"https://scholar.google.com/citations?hl=en&amp;view_op=list_hcore&amp;venue=fBneWRb_-8wJ.2018")</f>
        <v>https://scholar.google.com/citations?hl=en&amp;view_op=list_hcore&amp;venue=fBneWRb_-8wJ.2018</v>
      </c>
    </row>
    <row r="53" spans="1:5" ht="25.5" customHeight="1">
      <c r="A53" s="73" t="str">
        <f ca="1">IFERROR(__xludf.DUMMYFUNCTION("""COMPUTED_VALUE"""),"Eventos da Área")</f>
        <v>Eventos da Área</v>
      </c>
      <c r="B53" s="46" t="str">
        <f ca="1">IFERROR(__xludf.DUMMYFUNCTION("""COMPUTED_VALUE"""),"ICSOFT")</f>
        <v>ICSOFT</v>
      </c>
      <c r="C53" s="46" t="str">
        <f ca="1">IFERROR(__xludf.DUMMYFUNCTION("""COMPUTED_VALUE"""),"International Conference on Software Technologies")</f>
        <v>International Conference on Software Technologies</v>
      </c>
      <c r="D53" s="60">
        <f ca="1">IFERROR(__xludf.DUMMYFUNCTION("""COMPUTED_VALUE"""),10)</f>
        <v>10</v>
      </c>
      <c r="E53" s="60" t="str">
        <f ca="1">IFERROR(__xludf.DUMMYFUNCTION("""COMPUTED_VALUE"""),"https://scholar.google.com/citations?hl=en&amp;view_op=list_hcore&amp;venue=3zneIArE2G0J.2018")</f>
        <v>https://scholar.google.com/citations?hl=en&amp;view_op=list_hcore&amp;venue=3zneIArE2G0J.2018</v>
      </c>
    </row>
    <row r="54" spans="1:5" ht="25.5" customHeight="1">
      <c r="A54" s="73" t="str">
        <f ca="1">IFERROR(__xludf.DUMMYFUNCTION("""COMPUTED_VALUE"""),"Eventos da Área")</f>
        <v>Eventos da Área</v>
      </c>
      <c r="B54" s="46" t="str">
        <f ca="1">IFERROR(__xludf.DUMMYFUNCTION("""COMPUTED_VALUE"""),"SSTD")</f>
        <v>SSTD</v>
      </c>
      <c r="C54" s="46" t="str">
        <f ca="1">IFERROR(__xludf.DUMMYFUNCTION("""COMPUTED_VALUE"""),"International Symposium on Spatial and Temporal Databases")</f>
        <v>International Symposium on Spatial and Temporal Databases</v>
      </c>
      <c r="D54" s="60"/>
      <c r="E54" s="60"/>
    </row>
    <row r="55" spans="1:5" ht="25.5" customHeight="1">
      <c r="A55" s="73" t="str">
        <f ca="1">IFERROR(__xludf.DUMMYFUNCTION("""COMPUTED_VALUE"""),"Eventos da Área")</f>
        <v>Eventos da Área</v>
      </c>
      <c r="B55" s="46" t="str">
        <f ca="1">IFERROR(__xludf.DUMMYFUNCTION("""COMPUTED_VALUE"""),"DILS")</f>
        <v>DILS</v>
      </c>
      <c r="C55" s="46" t="str">
        <f ca="1">IFERROR(__xludf.DUMMYFUNCTION("""COMPUTED_VALUE"""),"International Conference on Data Integration in Life Sciences")</f>
        <v>International Conference on Data Integration in Life Sciences</v>
      </c>
      <c r="D55" s="60"/>
      <c r="E55" s="60"/>
    </row>
    <row r="56" spans="1:5" ht="25.5" customHeight="1">
      <c r="A56" s="73" t="str">
        <f ca="1">IFERROR(__xludf.DUMMYFUNCTION("""COMPUTED_VALUE"""),"Eventos da Área")</f>
        <v>Eventos da Área</v>
      </c>
      <c r="B56" s="46" t="str">
        <f ca="1">IFERROR(__xludf.DUMMYFUNCTION("""COMPUTED_VALUE"""),"MTSR")</f>
        <v>MTSR</v>
      </c>
      <c r="C56" s="46" t="str">
        <f ca="1">IFERROR(__xludf.DUMMYFUNCTION("""COMPUTED_VALUE"""),"International Conference on Metadata and Semantics Research")</f>
        <v>International Conference on Metadata and Semantics Research</v>
      </c>
      <c r="D56" s="60">
        <f ca="1">IFERROR(__xludf.DUMMYFUNCTION("""COMPUTED_VALUE"""),9)</f>
        <v>9</v>
      </c>
      <c r="E56" s="60" t="str">
        <f ca="1">IFERROR(__xludf.DUMMYFUNCTION("""COMPUTED_VALUE"""),"https://scholar.google.com/citations?hl=en&amp;view_op=list_hcore&amp;venue=nypTAZp7Yo8J.2018")</f>
        <v>https://scholar.google.com/citations?hl=en&amp;view_op=list_hcore&amp;venue=nypTAZp7Yo8J.2018</v>
      </c>
    </row>
    <row r="57" spans="1:5" ht="25.5" customHeight="1">
      <c r="A57" s="73" t="str">
        <f ca="1">IFERROR(__xludf.DUMMYFUNCTION("""COMPUTED_VALUE"""),"Eventos da Área")</f>
        <v>Eventos da Área</v>
      </c>
      <c r="B57" s="46" t="str">
        <f ca="1">IFERROR(__xludf.DUMMYFUNCTION("""COMPUTED_VALUE"""),"GIS")</f>
        <v>GIS</v>
      </c>
      <c r="C57" s="46" t="str">
        <f ca="1">IFERROR(__xludf.DUMMYFUNCTION("""COMPUTED_VALUE"""),"ACM SIGSPATIAL International Conference on Advances in Geographic Information Systems")</f>
        <v>ACM SIGSPATIAL International Conference on Advances in Geographic Information Systems</v>
      </c>
      <c r="D57" s="60">
        <f ca="1">IFERROR(__xludf.DUMMYFUNCTION("""COMPUTED_VALUE"""),27)</f>
        <v>27</v>
      </c>
      <c r="E57" s="60" t="str">
        <f ca="1">IFERROR(__xludf.DUMMYFUNCTION("""COMPUTED_VALUE"""),"https://scholar.google.com/citations?hl=en&amp;view_op=list_hcore&amp;venue=o8w3q5IHx5MJ.2018")</f>
        <v>https://scholar.google.com/citations?hl=en&amp;view_op=list_hcore&amp;venue=o8w3q5IHx5MJ.2018</v>
      </c>
    </row>
    <row r="58" spans="1:5" ht="25.5" customHeight="1">
      <c r="A58" s="73" t="str">
        <f ca="1">IFERROR(__xludf.DUMMYFUNCTION("""COMPUTED_VALUE"""),"Eventos da Área")</f>
        <v>Eventos da Área</v>
      </c>
      <c r="B58" s="46" t="str">
        <f ca="1">IFERROR(__xludf.DUMMYFUNCTION("""COMPUTED_VALUE"""),"ICIS")</f>
        <v>ICIS</v>
      </c>
      <c r="C58" s="46" t="str">
        <f ca="1">IFERROR(__xludf.DUMMYFUNCTION("""COMPUTED_VALUE"""),"International Conference on Information Systems")</f>
        <v>International Conference on Information Systems</v>
      </c>
      <c r="D58" s="60">
        <f ca="1">IFERROR(__xludf.DUMMYFUNCTION("""COMPUTED_VALUE"""),25)</f>
        <v>25</v>
      </c>
      <c r="E58" s="60" t="str">
        <f ca="1">IFERROR(__xludf.DUMMYFUNCTION("""COMPUTED_VALUE"""),"https://scholar.google.com/citations?hl=en&amp;view_op=list_hcore&amp;venue=hL4tvEz50McJ.2018")</f>
        <v>https://scholar.google.com/citations?hl=en&amp;view_op=list_hcore&amp;venue=hL4tvEz50McJ.2018</v>
      </c>
    </row>
    <row r="59" spans="1:5" ht="25.5" customHeight="1">
      <c r="A59" s="73" t="str">
        <f ca="1">IFERROR(__xludf.DUMMYFUNCTION("""COMPUTED_VALUE"""),"Eventos da Área")</f>
        <v>Eventos da Área</v>
      </c>
      <c r="B59" s="46" t="str">
        <f ca="1">IFERROR(__xludf.DUMMYFUNCTION("""COMPUTED_VALUE"""),"AINA")</f>
        <v>AINA</v>
      </c>
      <c r="C59" s="46" t="str">
        <f ca="1">IFERROR(__xludf.DUMMYFUNCTION("""COMPUTED_VALUE"""),"IEEE International Conference on Advanced Information Networking and Applications")</f>
        <v>IEEE International Conference on Advanced Information Networking and Applications</v>
      </c>
      <c r="D59" s="60">
        <f ca="1">IFERROR(__xludf.DUMMYFUNCTION("""COMPUTED_VALUE"""),26)</f>
        <v>26</v>
      </c>
      <c r="E59" s="60" t="str">
        <f ca="1">IFERROR(__xludf.DUMMYFUNCTION("""COMPUTED_VALUE"""),"https://scholar.google.com/citations?hl=en&amp;view_op=list_hcore&amp;venue=HQxJsAeEXPkJ.2018")</f>
        <v>https://scholar.google.com/citations?hl=en&amp;view_op=list_hcore&amp;venue=HQxJsAeEXPkJ.2018</v>
      </c>
    </row>
    <row r="60" spans="1:5" ht="25.5" customHeight="1">
      <c r="A60" s="73" t="str">
        <f ca="1">IFERROR(__xludf.DUMMYFUNCTION("""COMPUTED_VALUE"""),"Eventos da Área")</f>
        <v>Eventos da Área</v>
      </c>
      <c r="B60" s="46" t="str">
        <f ca="1">IFERROR(__xludf.DUMMYFUNCTION("""COMPUTED_VALUE"""),"CAISE")</f>
        <v>CAISE</v>
      </c>
      <c r="C60" s="46" t="str">
        <f ca="1">IFERROR(__xludf.DUMMYFUNCTION("""COMPUTED_VALUE"""),"International Conference on Advanced Information Systems Engineering")</f>
        <v>International Conference on Advanced Information Systems Engineering</v>
      </c>
      <c r="D60" s="60">
        <f ca="1">IFERROR(__xludf.DUMMYFUNCTION("""COMPUTED_VALUE"""),23)</f>
        <v>23</v>
      </c>
      <c r="E60" s="60" t="str">
        <f ca="1">IFERROR(__xludf.DUMMYFUNCTION("""COMPUTED_VALUE"""),"https://scholar.google.com/citations?hl=en&amp;view_op=list_hcore&amp;venue=5PSS5xHm_KwJ.2018")</f>
        <v>https://scholar.google.com/citations?hl=en&amp;view_op=list_hcore&amp;venue=5PSS5xHm_KwJ.2018</v>
      </c>
    </row>
    <row r="61" spans="1:5" ht="25.5" customHeight="1">
      <c r="A61" s="73" t="str">
        <f ca="1">IFERROR(__xludf.DUMMYFUNCTION("""COMPUTED_VALUE"""),"Eventos da Área")</f>
        <v>Eventos da Área</v>
      </c>
      <c r="B61" s="46" t="str">
        <f ca="1">IFERROR(__xludf.DUMMYFUNCTION("""COMPUTED_VALUE"""),"CoopIS")</f>
        <v>CoopIS</v>
      </c>
      <c r="C61" s="46" t="str">
        <f ca="1">IFERROR(__xludf.DUMMYFUNCTION("""COMPUTED_VALUE"""),"International Conference on Cooperative Information Systems")</f>
        <v>International Conference on Cooperative Information Systems</v>
      </c>
      <c r="D61" s="60"/>
      <c r="E61" s="60"/>
    </row>
    <row r="62" spans="1:5" ht="25.5" customHeight="1">
      <c r="A62" s="73" t="str">
        <f ca="1">IFERROR(__xludf.DUMMYFUNCTION("""COMPUTED_VALUE"""),"Eventos da Área")</f>
        <v>Eventos da Área</v>
      </c>
      <c r="B62" s="46" t="str">
        <f ca="1">IFERROR(__xludf.DUMMYFUNCTION("""COMPUTED_VALUE"""),"ECIR")</f>
        <v>ECIR</v>
      </c>
      <c r="C62" s="46" t="str">
        <f ca="1">IFERROR(__xludf.DUMMYFUNCTION("""COMPUTED_VALUE"""),"European Conference on Information Retrieval")</f>
        <v>European Conference on Information Retrieval</v>
      </c>
      <c r="D62" s="60">
        <f ca="1">IFERROR(__xludf.DUMMYFUNCTION("""COMPUTED_VALUE"""),26)</f>
        <v>26</v>
      </c>
      <c r="E62" s="60" t="str">
        <f ca="1">IFERROR(__xludf.DUMMYFUNCTION("""COMPUTED_VALUE"""),"https://scholar.google.com/citations?hl=en&amp;view_op=list_hcore&amp;venue=02SGYBvIz80J.2018")</f>
        <v>https://scholar.google.com/citations?hl=en&amp;view_op=list_hcore&amp;venue=02SGYBvIz80J.2018</v>
      </c>
    </row>
    <row r="63" spans="1:5" ht="25.5" customHeight="1">
      <c r="A63" s="73" t="str">
        <f ca="1">IFERROR(__xludf.DUMMYFUNCTION("""COMPUTED_VALUE"""),"Eventos da Área")</f>
        <v>Eventos da Área</v>
      </c>
      <c r="B63" s="46" t="str">
        <f ca="1">IFERROR(__xludf.DUMMYFUNCTION("""COMPUTED_VALUE"""),"IIWAS")</f>
        <v>IIWAS</v>
      </c>
      <c r="C63" s="46" t="str">
        <f ca="1">IFERROR(__xludf.DUMMYFUNCTION("""COMPUTED_VALUE"""),"International Conference on Information Integration and Web-based Applications &amp; Services")</f>
        <v>International Conference on Information Integration and Web-based Applications &amp; Services</v>
      </c>
      <c r="D63" s="60">
        <f ca="1">IFERROR(__xludf.DUMMYFUNCTION("""COMPUTED_VALUE"""),14)</f>
        <v>14</v>
      </c>
      <c r="E63" s="60" t="str">
        <f ca="1">IFERROR(__xludf.DUMMYFUNCTION("""COMPUTED_VALUE"""),"https://scholar.google.com/citations?hl=en&amp;view_op=list_hcore&amp;venue=Tq_VLYZkpzwJ.2018")</f>
        <v>https://scholar.google.com/citations?hl=en&amp;view_op=list_hcore&amp;venue=Tq_VLYZkpzwJ.2018</v>
      </c>
    </row>
    <row r="64" spans="1:5" ht="25.5" customHeight="1">
      <c r="A64" s="73" t="str">
        <f ca="1">IFERROR(__xludf.DUMMYFUNCTION("""COMPUTED_VALUE"""),"Eventos da Área")</f>
        <v>Eventos da Área</v>
      </c>
      <c r="B64" s="46" t="str">
        <f ca="1">IFERROR(__xludf.DUMMYFUNCTION("""COMPUTED_VALUE"""),"KES")</f>
        <v>KES</v>
      </c>
      <c r="C64" s="46" t="str">
        <f ca="1">IFERROR(__xludf.DUMMYFUNCTION("""COMPUTED_VALUE"""),"International Conference on Knowledge-Based and Intelligent Information &amp; Engineering Systems")</f>
        <v>International Conference on Knowledge-Based and Intelligent Information &amp; Engineering Systems</v>
      </c>
      <c r="D64" s="60"/>
      <c r="E64" s="60"/>
    </row>
    <row r="65" spans="1:5" ht="25.5" customHeight="1">
      <c r="A65" s="73" t="str">
        <f ca="1">IFERROR(__xludf.DUMMYFUNCTION("""COMPUTED_VALUE"""),"Eventos da Área")</f>
        <v>Eventos da Área</v>
      </c>
      <c r="B65" s="46" t="str">
        <f ca="1">IFERROR(__xludf.DUMMYFUNCTION("""COMPUTED_VALUE"""),"WISE")</f>
        <v>WISE</v>
      </c>
      <c r="C65" s="46" t="str">
        <f ca="1">IFERROR(__xludf.DUMMYFUNCTION("""COMPUTED_VALUE"""),"International Conference on Web Information Systems Engineering")</f>
        <v>International Conference on Web Information Systems Engineering</v>
      </c>
      <c r="D65" s="60">
        <f ca="1">IFERROR(__xludf.DUMMYFUNCTION("""COMPUTED_VALUE"""),16)</f>
        <v>16</v>
      </c>
      <c r="E65" s="60" t="str">
        <f ca="1">IFERROR(__xludf.DUMMYFUNCTION("""COMPUTED_VALUE"""),"https://scholar.google.com/citations?hl=en&amp;view_op=list_hcore&amp;venue=K9DmX5xQU-YJ.2018")</f>
        <v>https://scholar.google.com/citations?hl=en&amp;view_op=list_hcore&amp;venue=K9DmX5xQU-YJ.2018</v>
      </c>
    </row>
    <row r="66" spans="1:5" ht="25.5" customHeight="1">
      <c r="A66" s="73" t="str">
        <f ca="1">IFERROR(__xludf.DUMMYFUNCTION("""COMPUTED_VALUE"""),"Eventos da Área")</f>
        <v>Eventos da Área</v>
      </c>
      <c r="B66" s="46" t="str">
        <f ca="1">IFERROR(__xludf.DUMMYFUNCTION("""COMPUTED_VALUE"""),"WEBDB")</f>
        <v>WEBDB</v>
      </c>
      <c r="C66" s="46" t="str">
        <f ca="1">IFERROR(__xludf.DUMMYFUNCTION("""COMPUTED_VALUE"""),"International Workshop on the Web and Databases")</f>
        <v>International Workshop on the Web and Databases</v>
      </c>
      <c r="D66" s="60"/>
      <c r="E66" s="60"/>
    </row>
    <row r="67" spans="1:5" ht="25.5" customHeight="1">
      <c r="A67" s="73" t="str">
        <f ca="1">IFERROR(__xludf.DUMMYFUNCTION("""COMPUTED_VALUE"""),"Eventos da Área")</f>
        <v>Eventos da Área</v>
      </c>
      <c r="B67" s="46" t="str">
        <f ca="1">IFERROR(__xludf.DUMMYFUNCTION("""COMPUTED_VALUE"""),"SOCC")</f>
        <v>SOCC</v>
      </c>
      <c r="C67" s="46" t="str">
        <f ca="1">IFERROR(__xludf.DUMMYFUNCTION("""COMPUTED_VALUE"""),"ACM Symposium on Cloud Computing")</f>
        <v>ACM Symposium on Cloud Computing</v>
      </c>
      <c r="D67" s="60">
        <f ca="1">IFERROR(__xludf.DUMMYFUNCTION("""COMPUTED_VALUE"""),34)</f>
        <v>34</v>
      </c>
      <c r="E67" s="60" t="str">
        <f ca="1">IFERROR(__xludf.DUMMYFUNCTION("""COMPUTED_VALUE"""),"https://scholar.google.com/citations?hl=en&amp;view_op=list_hcore&amp;venue=o1durVJyeP4J.2019")</f>
        <v>https://scholar.google.com/citations?hl=en&amp;view_op=list_hcore&amp;venue=o1durVJyeP4J.2019</v>
      </c>
    </row>
    <row r="68" spans="1:5" ht="25.5" customHeight="1">
      <c r="A68" s="73" t="str">
        <f ca="1">IFERROR(__xludf.DUMMYFUNCTION("""COMPUTED_VALUE"""),"Eventos da Área")</f>
        <v>Eventos da Área</v>
      </c>
      <c r="B68" s="46" t="str">
        <f ca="1">IFERROR(__xludf.DUMMYFUNCTION("""COMPUTED_VALUE"""),"APWEB")</f>
        <v>APWEB</v>
      </c>
      <c r="C68" s="46" t="str">
        <f ca="1">IFERROR(__xludf.DUMMYFUNCTION("""COMPUTED_VALUE"""),"Asia-Pacific Web Conference")</f>
        <v>Asia-Pacific Web Conference</v>
      </c>
      <c r="D68" s="60"/>
      <c r="E68" s="60"/>
    </row>
    <row r="69" spans="1:5" ht="25.5" customHeight="1">
      <c r="A69" s="73" t="str">
        <f ca="1">IFERROR(__xludf.DUMMYFUNCTION("""COMPUTED_VALUE"""),"Eventos da Área")</f>
        <v>Eventos da Área</v>
      </c>
      <c r="B69" s="46" t="str">
        <f ca="1">IFERROR(__xludf.DUMMYFUNCTION("""COMPUTED_VALUE"""),"KR")</f>
        <v>KR</v>
      </c>
      <c r="C69" s="46" t="str">
        <f ca="1">IFERROR(__xludf.DUMMYFUNCTION("""COMPUTED_VALUE"""),"Principles of Knowledge Representations and Reasoning")</f>
        <v>Principles of Knowledge Representations and Reasoning</v>
      </c>
      <c r="D69" s="60">
        <f ca="1">IFERROR(__xludf.DUMMYFUNCTION("""COMPUTED_VALUE"""),21)</f>
        <v>21</v>
      </c>
      <c r="E69" s="60" t="str">
        <f ca="1">IFERROR(__xludf.DUMMYFUNCTION("""COMPUTED_VALUE"""),"https://scholar.google.com/citations?hl=en&amp;view_op=list_hcore&amp;venue=mK5NIOh7kkEJ.2018")</f>
        <v>https://scholar.google.com/citations?hl=en&amp;view_op=list_hcore&amp;venue=mK5NIOh7kkEJ.2018</v>
      </c>
    </row>
    <row r="70" spans="1:5" ht="25.5" customHeight="1">
      <c r="A70" s="73" t="str">
        <f ca="1">IFERROR(__xludf.DUMMYFUNCTION("""COMPUTED_VALUE"""),"Eventos da Área")</f>
        <v>Eventos da Área</v>
      </c>
      <c r="B70" s="60" t="str">
        <f ca="1">IFERROR(__xludf.DUMMYFUNCTION("""COMPUTED_VALUE"""),"IPAW")</f>
        <v>IPAW</v>
      </c>
      <c r="C70" s="60" t="str">
        <f ca="1">IFERROR(__xludf.DUMMYFUNCTION("""COMPUTED_VALUE"""),"International Provenance and Annotation Workshop")</f>
        <v>International Provenance and Annotation Workshop</v>
      </c>
      <c r="D70" s="60"/>
      <c r="E70" s="60"/>
    </row>
    <row r="71" spans="1:5" ht="25.5" customHeight="1">
      <c r="A71" s="73" t="str">
        <f ca="1">IFERROR(__xludf.DUMMYFUNCTION("""COMPUTED_VALUE"""),"Eventos da Área")</f>
        <v>Eventos da Área</v>
      </c>
      <c r="B71" s="60" t="str">
        <f ca="1">IFERROR(__xludf.DUMMYFUNCTION("""COMPUTED_VALUE"""),"GEOINFO")</f>
        <v>GEOINFO</v>
      </c>
      <c r="C71" s="60" t="str">
        <f ca="1">IFERROR(__xludf.DUMMYFUNCTION("""COMPUTED_VALUE"""),"Brazilian Symposium on Geoinformatics")</f>
        <v>Brazilian Symposium on Geoinformatics</v>
      </c>
      <c r="D71" s="60">
        <f ca="1">IFERROR(__xludf.DUMMYFUNCTION("""COMPUTED_VALUE"""),6)</f>
        <v>6</v>
      </c>
      <c r="E71" s="60" t="str">
        <f ca="1">IFERROR(__xludf.DUMMYFUNCTION("""COMPUTED_VALUE"""),"https://scholar.google.com/citations?hl=en&amp;view_op=list_hcore&amp;venue=BQO9C9sz1x8J.2018")</f>
        <v>https://scholar.google.com/citations?hl=en&amp;view_op=list_hcore&amp;venue=BQO9C9sz1x8J.2018</v>
      </c>
    </row>
    <row r="72" spans="1:5" ht="25.5" customHeight="1">
      <c r="A72" s="73" t="str">
        <f ca="1">IFERROR(__xludf.DUMMYFUNCTION("""COMPUTED_VALUE"""),"Eventos da Área")</f>
        <v>Eventos da Área</v>
      </c>
      <c r="B72" s="60" t="str">
        <f ca="1">IFERROR(__xludf.DUMMYFUNCTION("""COMPUTED_VALUE"""),"ITSC")</f>
        <v>ITSC</v>
      </c>
      <c r="C72" s="60" t="str">
        <f ca="1">IFERROR(__xludf.DUMMYFUNCTION("""COMPUTED_VALUE"""),"IEEE Intelligence Transportation Systems Conference")</f>
        <v>IEEE Intelligence Transportation Systems Conference</v>
      </c>
      <c r="D72" s="60">
        <f ca="1">IFERROR(__xludf.DUMMYFUNCTION("""COMPUTED_VALUE"""),32)</f>
        <v>32</v>
      </c>
      <c r="E72" s="60" t="str">
        <f ca="1">IFERROR(__xludf.DUMMYFUNCTION("""COMPUTED_VALUE"""),"https://scholar.google.com/citations?hl=en&amp;view_op=list_hcore&amp;venue=F_tKvHBbkU8J.2018")</f>
        <v>https://scholar.google.com/citations?hl=en&amp;view_op=list_hcore&amp;venue=F_tKvHBbkU8J.2018</v>
      </c>
    </row>
    <row r="73" spans="1:5" ht="25.5" customHeight="1">
      <c r="A73" s="73" t="str">
        <f ca="1">IFERROR(__xludf.DUMMYFUNCTION("""COMPUTED_VALUE"""),"Eventos da Área")</f>
        <v>Eventos da Área</v>
      </c>
      <c r="B73" s="60" t="str">
        <f ca="1">IFERROR(__xludf.DUMMYFUNCTION("""COMPUTED_VALUE"""),"CHIIR")</f>
        <v>CHIIR</v>
      </c>
      <c r="C73" s="68" t="str">
        <f ca="1">IFERROR(__xludf.DUMMYFUNCTION("""COMPUTED_VALUE"""),"Conference on Human Information Interaction and Retrieval")</f>
        <v>Conference on Human Information Interaction and Retrieval</v>
      </c>
      <c r="D73" s="60">
        <f ca="1">IFERROR(__xludf.DUMMYFUNCTION("""COMPUTED_VALUE"""),10)</f>
        <v>10</v>
      </c>
      <c r="E73" s="60" t="str">
        <f ca="1">IFERROR(__xludf.DUMMYFUNCTION("""COMPUTED_VALUE"""),"https://scholar.google.com/citations?hl=en&amp;view_op=list_hcore&amp;venue=HEK4XeIA_fYJ.2018")</f>
        <v>https://scholar.google.com/citations?hl=en&amp;view_op=list_hcore&amp;venue=HEK4XeIA_fYJ.2018</v>
      </c>
    </row>
    <row r="74" spans="1:5" ht="25.5" customHeight="1">
      <c r="A74" s="73" t="str">
        <f ca="1">IFERROR(__xludf.DUMMYFUNCTION("""COMPUTED_VALUE"""),"Eventos da Área")</f>
        <v>Eventos da Área</v>
      </c>
      <c r="B74" s="60" t="str">
        <f ca="1">IFERROR(__xludf.DUMMYFUNCTION("""COMPUTED_VALUE"""),"SISAP")</f>
        <v>SISAP</v>
      </c>
      <c r="C74" s="68" t="str">
        <f ca="1">IFERROR(__xludf.DUMMYFUNCTION("""COMPUTED_VALUE"""),"International Conference on Similarity Search and Applications")</f>
        <v>International Conference on Similarity Search and Applications</v>
      </c>
      <c r="D74" s="60">
        <f ca="1">IFERROR(__xludf.DUMMYFUNCTION("""COMPUTED_VALUE"""),10)</f>
        <v>10</v>
      </c>
      <c r="E74" s="60" t="str">
        <f ca="1">IFERROR(__xludf.DUMMYFUNCTION("""COMPUTED_VALUE"""),"https://scholar.google.com/citations?hl=en&amp;view_op=list_hcore&amp;venue=XdShTT6W3h0J.2018")</f>
        <v>https://scholar.google.com/citations?hl=en&amp;view_op=list_hcore&amp;venue=XdShTT6W3h0J.2018</v>
      </c>
    </row>
    <row r="75" spans="1:5" ht="25.5" customHeight="1">
      <c r="A75" s="73" t="str">
        <f ca="1">IFERROR(__xludf.DUMMYFUNCTION("""COMPUTED_VALUE"""),"Eventos da Área")</f>
        <v>Eventos da Área</v>
      </c>
      <c r="B75" s="60" t="str">
        <f ca="1">IFERROR(__xludf.DUMMYFUNCTION("""COMPUTED_VALUE"""),"KDIR")</f>
        <v>KDIR</v>
      </c>
      <c r="C75" s="68" t="str">
        <f ca="1">IFERROR(__xludf.DUMMYFUNCTION("""COMPUTED_VALUE"""),"International Conference on Knowledge Discovery and Information Retrieval")</f>
        <v>International Conference on Knowledge Discovery and Information Retrieval</v>
      </c>
      <c r="D75" s="60">
        <f ca="1">IFERROR(__xludf.DUMMYFUNCTION("""COMPUTED_VALUE"""),10)</f>
        <v>10</v>
      </c>
      <c r="E75" s="60" t="str">
        <f ca="1">IFERROR(__xludf.DUMMYFUNCTION("""COMPUTED_VALUE"""),"https://scholar.google.com/citations?hl=en&amp;view_op=list_hcore&amp;venue=UDGD1AtMr3UJ.2018")</f>
        <v>https://scholar.google.com/citations?hl=en&amp;view_op=list_hcore&amp;venue=UDGD1AtMr3UJ.2018</v>
      </c>
    </row>
    <row r="76" spans="1:5" ht="25.5" customHeight="1">
      <c r="A76" s="73" t="str">
        <f ca="1">IFERROR(__xludf.DUMMYFUNCTION("""COMPUTED_VALUE"""),"Eventos da Área")</f>
        <v>Eventos da Área</v>
      </c>
      <c r="B76" s="46" t="str">
        <f ca="1">IFERROR(__xludf.DUMMYFUNCTION("""COMPUTED_VALUE"""),"CLOUDDB")</f>
        <v>CLOUDDB</v>
      </c>
      <c r="C76" s="46" t="str">
        <f ca="1">IFERROR(__xludf.DUMMYFUNCTION("""COMPUTED_VALUE"""),"IEEE International workshop on Cloud data management")</f>
        <v>IEEE International workshop on Cloud data management</v>
      </c>
      <c r="D76" s="60"/>
      <c r="E76" s="60"/>
    </row>
    <row r="77" spans="1:5" ht="25.5" customHeight="1">
      <c r="A77" s="73" t="str">
        <f ca="1">IFERROR(__xludf.DUMMYFUNCTION("""COMPUTED_VALUE"""),"Eventos da Área")</f>
        <v>Eventos da Área</v>
      </c>
      <c r="B77" s="60" t="str">
        <f ca="1">IFERROR(__xludf.DUMMYFUNCTION("""COMPUTED_VALUE"""),"ICTIR")</f>
        <v>ICTIR</v>
      </c>
      <c r="C77" s="68" t="str">
        <f ca="1">IFERROR(__xludf.DUMMYFUNCTION("""COMPUTED_VALUE"""),"International Conference on the Theory of Information Retrieval")</f>
        <v>International Conference on the Theory of Information Retrieval</v>
      </c>
      <c r="D77" s="60">
        <f ca="1">IFERROR(__xludf.DUMMYFUNCTION("""COMPUTED_VALUE"""),14)</f>
        <v>14</v>
      </c>
      <c r="E77" s="60" t="str">
        <f ca="1">IFERROR(__xludf.DUMMYFUNCTION("""COMPUTED_VALUE"""),"https://scholar.google.com/citations?hl=en&amp;view_op=list_hcore&amp;venue=5XVjTHqnK0AJ.2018")</f>
        <v>https://scholar.google.com/citations?hl=en&amp;view_op=list_hcore&amp;venue=5XVjTHqnK0AJ.2018</v>
      </c>
    </row>
    <row r="78" spans="1:5" ht="25.5" customHeight="1">
      <c r="A78" s="73" t="str">
        <f ca="1">IFERROR(__xludf.DUMMYFUNCTION("""COMPUTED_VALUE"""),"Eventos da Área")</f>
        <v>Eventos da Área</v>
      </c>
      <c r="B78" s="46" t="str">
        <f ca="1">IFERROR(__xludf.DUMMYFUNCTION("""COMPUTED_VALUE"""),"DGO")</f>
        <v>DGO</v>
      </c>
      <c r="C78" s="46" t="str">
        <f ca="1">IFERROR(__xludf.DUMMYFUNCTION("""COMPUTED_VALUE"""),"Annual International Conference on Digital Government Research")</f>
        <v>Annual International Conference on Digital Government Research</v>
      </c>
      <c r="D78" s="60">
        <f ca="1">IFERROR(__xludf.DUMMYFUNCTION("""COMPUTED_VALUE"""),17)</f>
        <v>17</v>
      </c>
      <c r="E78" s="60" t="str">
        <f ca="1">IFERROR(__xludf.DUMMYFUNCTION("""COMPUTED_VALUE"""),"https://scholar.google.com/citations?hl=en&amp;view_op=list_hcore&amp;venue=109OuuD55eYJ.2018")</f>
        <v>https://scholar.google.com/citations?hl=en&amp;view_op=list_hcore&amp;venue=109OuuD55eYJ.2018</v>
      </c>
    </row>
    <row r="79" spans="1:5" ht="25.5" customHeight="1">
      <c r="A79" s="73" t="str">
        <f ca="1">IFERROR(__xludf.DUMMYFUNCTION("""COMPUTED_VALUE"""),"Eventos da Área")</f>
        <v>Eventos da Área</v>
      </c>
      <c r="B79" s="46" t="str">
        <f ca="1">IFERROR(__xludf.DUMMYFUNCTION("""COMPUTED_VALUE"""),"WEBIST")</f>
        <v>WEBIST</v>
      </c>
      <c r="C79" s="46" t="str">
        <f ca="1">IFERROR(__xludf.DUMMYFUNCTION("""COMPUTED_VALUE"""),"International Conference on Web Information Systems and Technologies")</f>
        <v>International Conference on Web Information Systems and Technologies</v>
      </c>
      <c r="D79" s="60">
        <f ca="1">IFERROR(__xludf.DUMMYFUNCTION("""COMPUTED_VALUE"""),13)</f>
        <v>13</v>
      </c>
      <c r="E79" s="60" t="str">
        <f ca="1">IFERROR(__xludf.DUMMYFUNCTION("""COMPUTED_VALUE"""),"https://scholar.google.com/citations?hl=en&amp;view_op=list_hcore&amp;venue=0oQi0-PzQ8sJ.2018")</f>
        <v>https://scholar.google.com/citations?hl=en&amp;view_op=list_hcore&amp;venue=0oQi0-PzQ8sJ.2018</v>
      </c>
    </row>
    <row r="80" spans="1:5" ht="12.75">
      <c r="D80" s="3"/>
    </row>
    <row r="81" spans="4:4" ht="12.75">
      <c r="D81" s="3"/>
    </row>
    <row r="82" spans="4:4" ht="12.75">
      <c r="D82" s="3"/>
    </row>
    <row r="83" spans="4:4" ht="12.75">
      <c r="D83" s="3"/>
    </row>
    <row r="84" spans="4:4" ht="12.75">
      <c r="D84" s="3"/>
    </row>
    <row r="85" spans="4:4" ht="12.75">
      <c r="D85" s="3"/>
    </row>
    <row r="86" spans="4:4" ht="12.75">
      <c r="D86" s="3"/>
    </row>
    <row r="87" spans="4:4" ht="12.75">
      <c r="D87" s="3"/>
    </row>
    <row r="88" spans="4:4" ht="12.75">
      <c r="D88" s="3"/>
    </row>
    <row r="89" spans="4:4" ht="12.75">
      <c r="D89" s="3"/>
    </row>
    <row r="90" spans="4:4" ht="12.75">
      <c r="D90" s="3"/>
    </row>
    <row r="91" spans="4:4" ht="12.75">
      <c r="D91" s="3"/>
    </row>
    <row r="92" spans="4:4" ht="12.75">
      <c r="D92" s="3"/>
    </row>
    <row r="93" spans="4:4" ht="12.75">
      <c r="D93" s="3"/>
    </row>
    <row r="94" spans="4:4" ht="12.75">
      <c r="D94" s="3"/>
    </row>
    <row r="95" spans="4:4" ht="12.75">
      <c r="D95" s="3"/>
    </row>
    <row r="96" spans="4:4" ht="12.75">
      <c r="D96" s="3"/>
    </row>
    <row r="97" spans="3:5" ht="12.75">
      <c r="D97" s="3"/>
    </row>
    <row r="98" spans="3:5" ht="12.75">
      <c r="D98" s="3"/>
    </row>
    <row r="99" spans="3:5" ht="12.75">
      <c r="D99" s="3"/>
    </row>
    <row r="100" spans="3:5" s="12" customFormat="1" ht="12.75">
      <c r="D100" s="13"/>
      <c r="E100" s="7"/>
    </row>
    <row r="101" spans="3:5" s="12" customFormat="1" ht="12.75">
      <c r="D101" s="13"/>
      <c r="E101" s="7"/>
    </row>
    <row r="102" spans="3:5" ht="12.75">
      <c r="D102" s="3"/>
    </row>
    <row r="103" spans="3:5" ht="12.75">
      <c r="D103" s="3"/>
    </row>
    <row r="104" spans="3:5" ht="12.75">
      <c r="C104" s="12"/>
      <c r="D104" s="3"/>
    </row>
    <row r="105" spans="3:5" ht="12.75">
      <c r="D105" s="3"/>
    </row>
    <row r="106" spans="3:5" ht="12.75">
      <c r="D106" s="3"/>
    </row>
    <row r="107" spans="3:5" ht="12.75">
      <c r="D107" s="3"/>
    </row>
    <row r="108" spans="3:5" ht="12.75">
      <c r="D108" s="3"/>
    </row>
    <row r="109" spans="3:5" ht="12.75">
      <c r="D109" s="3"/>
    </row>
    <row r="110" spans="3:5" ht="12.75">
      <c r="D110" s="3"/>
    </row>
    <row r="111" spans="3:5" ht="12.75">
      <c r="D111" s="3"/>
    </row>
    <row r="112" spans="3:5" ht="12.75">
      <c r="D112" s="3"/>
    </row>
    <row r="113" spans="4:4" ht="12.75">
      <c r="D113" s="3"/>
    </row>
    <row r="114" spans="4:4" ht="12.75">
      <c r="D114" s="3"/>
    </row>
    <row r="115" spans="4:4" ht="12.75">
      <c r="D115" s="3"/>
    </row>
    <row r="116" spans="4:4" ht="12.75">
      <c r="D116" s="3"/>
    </row>
    <row r="117" spans="4:4" ht="12.75">
      <c r="D117" s="3"/>
    </row>
    <row r="118" spans="4:4" ht="12.75">
      <c r="D118" s="3"/>
    </row>
    <row r="119" spans="4:4" ht="12.75">
      <c r="D119" s="3"/>
    </row>
    <row r="120" spans="4:4" ht="12.75">
      <c r="D120" s="3"/>
    </row>
    <row r="121" spans="4:4" ht="12.75">
      <c r="D121" s="3"/>
    </row>
    <row r="122" spans="4:4" ht="12.75">
      <c r="D122" s="3"/>
    </row>
    <row r="123" spans="4:4" ht="12.75">
      <c r="D123" s="3"/>
    </row>
    <row r="124" spans="4:4" ht="12.75">
      <c r="D124" s="3"/>
    </row>
    <row r="125" spans="4:4" ht="12.75">
      <c r="D125" s="3"/>
    </row>
    <row r="126" spans="4:4" ht="12.75">
      <c r="D126" s="3"/>
    </row>
    <row r="127" spans="4:4" ht="12.75">
      <c r="D127" s="3"/>
    </row>
    <row r="128" spans="4:4" ht="12.75">
      <c r="D128" s="3"/>
    </row>
    <row r="129" spans="4:4" ht="12.75">
      <c r="D129" s="3"/>
    </row>
    <row r="130" spans="4:4" ht="12.75">
      <c r="D130" s="3"/>
    </row>
    <row r="131" spans="4:4" ht="12.75">
      <c r="D131" s="3"/>
    </row>
    <row r="132" spans="4:4" ht="12.75">
      <c r="D132" s="3"/>
    </row>
    <row r="133" spans="4:4" ht="12.75">
      <c r="D133" s="3"/>
    </row>
    <row r="134" spans="4:4" ht="12.75">
      <c r="D134" s="3"/>
    </row>
    <row r="135" spans="4:4" ht="12.75">
      <c r="D135" s="3"/>
    </row>
    <row r="136" spans="4:4" ht="12.75">
      <c r="D136" s="3"/>
    </row>
    <row r="137" spans="4:4" ht="12.75">
      <c r="D137" s="3"/>
    </row>
    <row r="138" spans="4:4" ht="12.75">
      <c r="D138" s="3"/>
    </row>
    <row r="139" spans="4:4" ht="12.75">
      <c r="D139" s="3"/>
    </row>
    <row r="140" spans="4:4" ht="12.75">
      <c r="D140" s="3"/>
    </row>
    <row r="141" spans="4:4" ht="12.75">
      <c r="D141" s="3"/>
    </row>
    <row r="142" spans="4:4" ht="12.75">
      <c r="D142" s="3"/>
    </row>
    <row r="143" spans="4:4" ht="12.75">
      <c r="D143" s="3"/>
    </row>
    <row r="144" spans="4:4" ht="12.75">
      <c r="D144" s="3"/>
    </row>
    <row r="145" spans="4:4" ht="12.75">
      <c r="D145" s="3"/>
    </row>
    <row r="146" spans="4:4" ht="12.75">
      <c r="D146" s="3"/>
    </row>
    <row r="147" spans="4:4" ht="12.75">
      <c r="D147" s="3"/>
    </row>
    <row r="148" spans="4:4" ht="12.75">
      <c r="D148" s="3"/>
    </row>
    <row r="149" spans="4:4" ht="12.75">
      <c r="D149" s="3"/>
    </row>
    <row r="150" spans="4:4" ht="12.75">
      <c r="D150" s="3"/>
    </row>
    <row r="151" spans="4:4" ht="12.75">
      <c r="D151" s="3"/>
    </row>
    <row r="152" spans="4:4" ht="12.75">
      <c r="D152" s="3"/>
    </row>
    <row r="153" spans="4:4" ht="12.75">
      <c r="D153" s="3"/>
    </row>
    <row r="154" spans="4:4" ht="12.75">
      <c r="D154" s="3"/>
    </row>
    <row r="155" spans="4:4" ht="12.75">
      <c r="D155" s="3"/>
    </row>
    <row r="156" spans="4:4" ht="12.75">
      <c r="D156" s="3"/>
    </row>
    <row r="157" spans="4:4" ht="12.75">
      <c r="D157" s="3"/>
    </row>
    <row r="158" spans="4:4" ht="12.75">
      <c r="D158" s="3"/>
    </row>
    <row r="159" spans="4:4" ht="12.75">
      <c r="D159" s="3"/>
    </row>
    <row r="160" spans="4:4" ht="12.75">
      <c r="D160" s="3"/>
    </row>
    <row r="161" spans="4:4" ht="12.75">
      <c r="D161" s="3"/>
    </row>
    <row r="162" spans="4:4" ht="12.75">
      <c r="D162" s="3"/>
    </row>
    <row r="163" spans="4:4" ht="12.75">
      <c r="D163" s="3"/>
    </row>
    <row r="164" spans="4:4" ht="12.75">
      <c r="D164" s="3"/>
    </row>
    <row r="165" spans="4:4" ht="12.75">
      <c r="D165" s="3"/>
    </row>
    <row r="166" spans="4:4" ht="12.75">
      <c r="D166" s="3"/>
    </row>
    <row r="167" spans="4:4" ht="12.75">
      <c r="D167" s="3"/>
    </row>
    <row r="168" spans="4:4" ht="12.75">
      <c r="D168" s="3"/>
    </row>
    <row r="169" spans="4:4" ht="12.75">
      <c r="D169" s="3"/>
    </row>
    <row r="170" spans="4:4" ht="12.75">
      <c r="D170" s="3"/>
    </row>
    <row r="171" spans="4:4" ht="12.75">
      <c r="D171" s="3"/>
    </row>
    <row r="172" spans="4:4" ht="12.75">
      <c r="D172" s="3"/>
    </row>
    <row r="173" spans="4:4" ht="12.75">
      <c r="D173" s="3"/>
    </row>
    <row r="174" spans="4:4" ht="12.75">
      <c r="D174" s="3"/>
    </row>
    <row r="175" spans="4:4" ht="12.75">
      <c r="D175" s="3"/>
    </row>
    <row r="176" spans="4:4" ht="12.75">
      <c r="D176" s="3"/>
    </row>
    <row r="177" spans="4:4" ht="12.75">
      <c r="D177" s="3"/>
    </row>
    <row r="178" spans="4:4" ht="12.75">
      <c r="D178" s="3"/>
    </row>
    <row r="179" spans="4:4" ht="12.75">
      <c r="D179" s="3"/>
    </row>
    <row r="180" spans="4:4" ht="12.75">
      <c r="D180" s="3"/>
    </row>
    <row r="181" spans="4:4" ht="12.75">
      <c r="D181" s="3"/>
    </row>
    <row r="182" spans="4:4" ht="12.75">
      <c r="D182" s="3"/>
    </row>
    <row r="183" spans="4:4" ht="12.75">
      <c r="D183" s="3"/>
    </row>
    <row r="184" spans="4:4" ht="12.75">
      <c r="D184" s="3"/>
    </row>
    <row r="185" spans="4:4" ht="12.75">
      <c r="D185" s="3"/>
    </row>
    <row r="186" spans="4:4" ht="12.75">
      <c r="D186" s="3"/>
    </row>
    <row r="187" spans="4:4" ht="12.75">
      <c r="D187" s="3"/>
    </row>
    <row r="188" spans="4:4" ht="12.75">
      <c r="D188" s="3"/>
    </row>
    <row r="189" spans="4:4" ht="12.75">
      <c r="D189" s="3"/>
    </row>
    <row r="190" spans="4:4" ht="12.75">
      <c r="D190" s="3"/>
    </row>
    <row r="191" spans="4:4" ht="12.75">
      <c r="D191" s="3"/>
    </row>
    <row r="192" spans="4:4" ht="12.75">
      <c r="D192" s="3"/>
    </row>
    <row r="193" spans="4:4" ht="12.75">
      <c r="D193" s="3"/>
    </row>
    <row r="194" spans="4:4" ht="12.75">
      <c r="D194" s="3"/>
    </row>
    <row r="195" spans="4:4" ht="12.75">
      <c r="D195" s="3"/>
    </row>
    <row r="196" spans="4:4" ht="12.75">
      <c r="D196" s="3"/>
    </row>
    <row r="197" spans="4:4" ht="12.75">
      <c r="D197" s="3"/>
    </row>
    <row r="198" spans="4:4" ht="12.75">
      <c r="D198" s="3"/>
    </row>
    <row r="199" spans="4:4" ht="12.75">
      <c r="D199" s="3"/>
    </row>
    <row r="200" spans="4:4" ht="12.75">
      <c r="D200" s="3"/>
    </row>
    <row r="201" spans="4:4" ht="12.75">
      <c r="D201" s="3"/>
    </row>
    <row r="202" spans="4:4" ht="12.75">
      <c r="D202" s="3"/>
    </row>
    <row r="203" spans="4:4" ht="12.75">
      <c r="D203" s="3"/>
    </row>
    <row r="204" spans="4:4" ht="12.75">
      <c r="D204" s="3"/>
    </row>
    <row r="205" spans="4:4" ht="12.75">
      <c r="D205" s="3"/>
    </row>
    <row r="206" spans="4:4" ht="12.75">
      <c r="D206" s="3"/>
    </row>
    <row r="207" spans="4:4" ht="12.75">
      <c r="D207" s="3"/>
    </row>
    <row r="208" spans="4:4" ht="12.75">
      <c r="D208" s="3"/>
    </row>
    <row r="209" spans="4:4" ht="12.75">
      <c r="D209" s="3"/>
    </row>
    <row r="210" spans="4:4" ht="12.75">
      <c r="D210" s="3"/>
    </row>
    <row r="211" spans="4:4" ht="12.75">
      <c r="D211" s="3"/>
    </row>
    <row r="212" spans="4:4" ht="12.75">
      <c r="D212" s="3"/>
    </row>
    <row r="213" spans="4:4" ht="12.75">
      <c r="D213" s="3"/>
    </row>
    <row r="214" spans="4:4" ht="12.75">
      <c r="D214" s="3"/>
    </row>
    <row r="215" spans="4:4" ht="12.75">
      <c r="D215" s="3"/>
    </row>
    <row r="216" spans="4:4" ht="12.75">
      <c r="D216" s="3"/>
    </row>
    <row r="217" spans="4:4" ht="12.75">
      <c r="D217" s="3"/>
    </row>
    <row r="218" spans="4:4" ht="12.75">
      <c r="D218" s="3"/>
    </row>
    <row r="219" spans="4:4" ht="12.75">
      <c r="D219" s="3"/>
    </row>
    <row r="220" spans="4:4" ht="12.75">
      <c r="D220" s="3"/>
    </row>
    <row r="221" spans="4:4" ht="12.75">
      <c r="D221" s="3"/>
    </row>
    <row r="222" spans="4:4" ht="12.75">
      <c r="D222" s="3"/>
    </row>
    <row r="223" spans="4:4" ht="12.75">
      <c r="D223" s="3"/>
    </row>
    <row r="224" spans="4:4" ht="12.75">
      <c r="D224" s="3"/>
    </row>
    <row r="225" spans="4:4" ht="12.75">
      <c r="D225" s="3"/>
    </row>
    <row r="226" spans="4:4" ht="12.75">
      <c r="D226" s="3"/>
    </row>
    <row r="227" spans="4:4" ht="12.75">
      <c r="D227" s="3"/>
    </row>
    <row r="228" spans="4:4" ht="12.75">
      <c r="D228" s="3"/>
    </row>
    <row r="229" spans="4:4" ht="12.75">
      <c r="D229" s="3"/>
    </row>
    <row r="230" spans="4:4" ht="12.75">
      <c r="D230" s="3"/>
    </row>
    <row r="231" spans="4:4" ht="12.75">
      <c r="D231" s="3"/>
    </row>
    <row r="232" spans="4:4" ht="12.75">
      <c r="D232" s="3"/>
    </row>
    <row r="233" spans="4:4" ht="12.75">
      <c r="D233" s="3"/>
    </row>
    <row r="234" spans="4:4" ht="12.75">
      <c r="D234" s="3"/>
    </row>
    <row r="235" spans="4:4" ht="12.75">
      <c r="D235" s="3"/>
    </row>
    <row r="236" spans="4:4" ht="12.75">
      <c r="D236" s="3"/>
    </row>
    <row r="237" spans="4:4" ht="12.75">
      <c r="D237" s="3"/>
    </row>
    <row r="238" spans="4:4" ht="12.75">
      <c r="D238" s="3"/>
    </row>
    <row r="239" spans="4:4" ht="12.75">
      <c r="D239" s="3"/>
    </row>
    <row r="240" spans="4:4" ht="12.75">
      <c r="D240" s="3"/>
    </row>
    <row r="241" spans="4:4" ht="12.75">
      <c r="D241" s="3"/>
    </row>
    <row r="242" spans="4:4" ht="12.75">
      <c r="D242" s="3"/>
    </row>
    <row r="243" spans="4:4" ht="12.75">
      <c r="D243" s="3"/>
    </row>
    <row r="244" spans="4:4" ht="12.75">
      <c r="D244" s="3"/>
    </row>
    <row r="245" spans="4:4" ht="12.75">
      <c r="D245" s="3"/>
    </row>
    <row r="246" spans="4:4" ht="12.75">
      <c r="D246" s="3"/>
    </row>
    <row r="247" spans="4:4" ht="12.75">
      <c r="D247" s="3"/>
    </row>
    <row r="248" spans="4:4" ht="12.75">
      <c r="D248" s="3"/>
    </row>
    <row r="249" spans="4:4" ht="12.75">
      <c r="D249" s="3"/>
    </row>
    <row r="250" spans="4:4" ht="12.75">
      <c r="D250" s="3"/>
    </row>
    <row r="251" spans="4:4" ht="12.75">
      <c r="D251" s="3"/>
    </row>
    <row r="252" spans="4:4" ht="12.75">
      <c r="D252" s="3"/>
    </row>
    <row r="253" spans="4:4" ht="12.75">
      <c r="D253" s="3"/>
    </row>
    <row r="254" spans="4:4" ht="12.75">
      <c r="D254" s="3"/>
    </row>
    <row r="255" spans="4:4" ht="12.75">
      <c r="D255" s="3"/>
    </row>
    <row r="256" spans="4:4" ht="12.75">
      <c r="D256" s="3"/>
    </row>
    <row r="257" spans="4:4" ht="12.75">
      <c r="D257" s="3"/>
    </row>
    <row r="258" spans="4:4" ht="12.75">
      <c r="D258" s="3"/>
    </row>
    <row r="259" spans="4:4" ht="12.75">
      <c r="D259" s="3"/>
    </row>
    <row r="260" spans="4:4" ht="12.75">
      <c r="D260" s="3"/>
    </row>
    <row r="261" spans="4:4" ht="12.75">
      <c r="D261" s="3"/>
    </row>
    <row r="262" spans="4:4" ht="12.75">
      <c r="D262" s="3"/>
    </row>
    <row r="263" spans="4:4" ht="12.75">
      <c r="D263" s="3"/>
    </row>
    <row r="264" spans="4:4" ht="12.75">
      <c r="D264" s="3"/>
    </row>
    <row r="265" spans="4:4" ht="12.75">
      <c r="D265" s="3"/>
    </row>
    <row r="266" spans="4:4" ht="12.75">
      <c r="D266" s="3"/>
    </row>
    <row r="267" spans="4:4" ht="12.75">
      <c r="D267" s="3"/>
    </row>
    <row r="268" spans="4:4" ht="12.75">
      <c r="D268" s="3"/>
    </row>
    <row r="269" spans="4:4" ht="12.75">
      <c r="D269" s="3"/>
    </row>
    <row r="270" spans="4:4" ht="12.75">
      <c r="D270" s="3"/>
    </row>
    <row r="271" spans="4:4" ht="12.75">
      <c r="D271" s="3"/>
    </row>
    <row r="272" spans="4:4" ht="12.75">
      <c r="D272" s="3"/>
    </row>
    <row r="273" spans="4:4" ht="12.75">
      <c r="D273" s="3"/>
    </row>
    <row r="274" spans="4:4" ht="12.75">
      <c r="D274" s="3"/>
    </row>
    <row r="275" spans="4:4" ht="12.75">
      <c r="D275" s="3"/>
    </row>
    <row r="276" spans="4:4" ht="12.75">
      <c r="D276" s="3"/>
    </row>
    <row r="277" spans="4:4" ht="12.75">
      <c r="D277" s="3"/>
    </row>
    <row r="278" spans="4:4" ht="12.75">
      <c r="D278" s="3"/>
    </row>
    <row r="279" spans="4:4" ht="12.75">
      <c r="D279" s="3"/>
    </row>
    <row r="280" spans="4:4" ht="12.75">
      <c r="D280" s="3"/>
    </row>
    <row r="281" spans="4:4" ht="12.75">
      <c r="D281" s="3"/>
    </row>
    <row r="282" spans="4:4" ht="12.75">
      <c r="D282" s="3"/>
    </row>
    <row r="283" spans="4:4" ht="12.75">
      <c r="D283" s="3"/>
    </row>
    <row r="284" spans="4:4" ht="12.75">
      <c r="D284" s="3"/>
    </row>
    <row r="285" spans="4:4" ht="12.75">
      <c r="D285" s="3"/>
    </row>
    <row r="286" spans="4:4" ht="12.75">
      <c r="D286" s="3"/>
    </row>
    <row r="287" spans="4:4" ht="12.75">
      <c r="D287" s="3"/>
    </row>
    <row r="288" spans="4:4" ht="12.75">
      <c r="D288" s="3"/>
    </row>
    <row r="289" spans="4:4" ht="12.75">
      <c r="D289" s="3"/>
    </row>
    <row r="290" spans="4:4" ht="12.75">
      <c r="D290" s="3"/>
    </row>
    <row r="291" spans="4:4" ht="12.75">
      <c r="D291" s="3"/>
    </row>
    <row r="292" spans="4:4" ht="12.75">
      <c r="D292" s="3"/>
    </row>
    <row r="293" spans="4:4" ht="12.75">
      <c r="D293" s="3"/>
    </row>
    <row r="294" spans="4:4" ht="12.75">
      <c r="D294" s="3"/>
    </row>
    <row r="295" spans="4:4" ht="12.75">
      <c r="D295" s="3"/>
    </row>
    <row r="296" spans="4:4" ht="12.75">
      <c r="D296" s="3"/>
    </row>
    <row r="297" spans="4:4" ht="12.75">
      <c r="D297" s="3"/>
    </row>
    <row r="298" spans="4:4" ht="12.75">
      <c r="D298" s="3"/>
    </row>
    <row r="299" spans="4:4" ht="12.75">
      <c r="D299" s="3"/>
    </row>
    <row r="300" spans="4:4" ht="12.75">
      <c r="D300" s="3"/>
    </row>
    <row r="301" spans="4:4" ht="12.75">
      <c r="D301" s="3"/>
    </row>
    <row r="302" spans="4:4" ht="12.75">
      <c r="D302" s="3"/>
    </row>
    <row r="303" spans="4:4" ht="12.75">
      <c r="D303" s="3"/>
    </row>
    <row r="304" spans="4:4" ht="12.75">
      <c r="D304" s="3"/>
    </row>
    <row r="305" spans="4:4" ht="12.75">
      <c r="D305" s="3"/>
    </row>
    <row r="306" spans="4:4" ht="12.75">
      <c r="D306" s="3"/>
    </row>
    <row r="307" spans="4:4" ht="12.75">
      <c r="D307" s="3"/>
    </row>
    <row r="308" spans="4:4" ht="12.75">
      <c r="D308" s="3"/>
    </row>
    <row r="309" spans="4:4" ht="12.75">
      <c r="D309" s="3"/>
    </row>
    <row r="310" spans="4:4" ht="12.75">
      <c r="D310" s="3"/>
    </row>
    <row r="311" spans="4:4" ht="12.75">
      <c r="D311" s="3"/>
    </row>
    <row r="312" spans="4:4" ht="12.75">
      <c r="D312" s="3"/>
    </row>
    <row r="313" spans="4:4" ht="12.75">
      <c r="D313" s="3"/>
    </row>
    <row r="314" spans="4:4" ht="12.75">
      <c r="D314" s="3"/>
    </row>
    <row r="315" spans="4:4" ht="12.75">
      <c r="D315" s="3"/>
    </row>
    <row r="316" spans="4:4" ht="12.75">
      <c r="D316" s="3"/>
    </row>
    <row r="317" spans="4:4" ht="12.75">
      <c r="D317" s="3"/>
    </row>
    <row r="318" spans="4:4" ht="12.75">
      <c r="D318" s="3"/>
    </row>
    <row r="319" spans="4:4" ht="12.75">
      <c r="D319" s="3"/>
    </row>
    <row r="320" spans="4:4" ht="12.75">
      <c r="D320" s="3"/>
    </row>
    <row r="321" spans="4:4" ht="12.75">
      <c r="D321" s="3"/>
    </row>
    <row r="322" spans="4:4" ht="12.75">
      <c r="D322" s="3"/>
    </row>
    <row r="323" spans="4:4" ht="12.75">
      <c r="D323" s="3"/>
    </row>
    <row r="324" spans="4:4" ht="12.75">
      <c r="D324" s="3"/>
    </row>
    <row r="325" spans="4:4" ht="12.75">
      <c r="D325" s="3"/>
    </row>
    <row r="326" spans="4:4" ht="12.75">
      <c r="D326" s="3"/>
    </row>
    <row r="327" spans="4:4" ht="12.75">
      <c r="D327" s="3"/>
    </row>
    <row r="328" spans="4:4" ht="12.75">
      <c r="D328" s="3"/>
    </row>
    <row r="329" spans="4:4" ht="12.75">
      <c r="D329" s="3"/>
    </row>
    <row r="330" spans="4:4" ht="12.75">
      <c r="D330" s="3"/>
    </row>
    <row r="331" spans="4:4" ht="12.75">
      <c r="D331" s="3"/>
    </row>
    <row r="332" spans="4:4" ht="12.75">
      <c r="D332" s="3"/>
    </row>
    <row r="333" spans="4:4" ht="12.75">
      <c r="D333" s="3"/>
    </row>
    <row r="334" spans="4:4" ht="12.75">
      <c r="D334" s="3"/>
    </row>
    <row r="335" spans="4:4" ht="12.75">
      <c r="D335" s="3"/>
    </row>
    <row r="336" spans="4:4" ht="12.75">
      <c r="D336" s="3"/>
    </row>
    <row r="337" spans="4:4" ht="12.75">
      <c r="D337" s="3"/>
    </row>
    <row r="338" spans="4:4" ht="12.75">
      <c r="D338" s="3"/>
    </row>
    <row r="339" spans="4:4" ht="12.75">
      <c r="D339" s="3"/>
    </row>
    <row r="340" spans="4:4" ht="12.75">
      <c r="D340" s="3"/>
    </row>
    <row r="341" spans="4:4" ht="12.75">
      <c r="D341" s="3"/>
    </row>
    <row r="342" spans="4:4" ht="12.75">
      <c r="D342" s="3"/>
    </row>
    <row r="343" spans="4:4" ht="12.75">
      <c r="D343" s="3"/>
    </row>
    <row r="344" spans="4:4" ht="12.75">
      <c r="D344" s="3"/>
    </row>
    <row r="345" spans="4:4" ht="12.75">
      <c r="D345" s="3"/>
    </row>
    <row r="346" spans="4:4" ht="12.75">
      <c r="D346" s="3"/>
    </row>
    <row r="347" spans="4:4" ht="12.75">
      <c r="D347" s="3"/>
    </row>
    <row r="348" spans="4:4" ht="12.75">
      <c r="D348" s="3"/>
    </row>
    <row r="349" spans="4:4" ht="12.75">
      <c r="D349" s="3"/>
    </row>
    <row r="350" spans="4:4" ht="12.75">
      <c r="D350" s="3"/>
    </row>
    <row r="351" spans="4:4" ht="12.75">
      <c r="D351" s="3"/>
    </row>
    <row r="352" spans="4:4" ht="12.75">
      <c r="D352" s="3"/>
    </row>
    <row r="353" spans="4:4" ht="12.75">
      <c r="D353" s="3"/>
    </row>
    <row r="354" spans="4:4" ht="12.75">
      <c r="D354" s="3"/>
    </row>
    <row r="355" spans="4:4" ht="12.75">
      <c r="D355" s="3"/>
    </row>
    <row r="356" spans="4:4" ht="12.75">
      <c r="D356" s="3"/>
    </row>
    <row r="357" spans="4:4" ht="12.75">
      <c r="D357" s="3"/>
    </row>
    <row r="358" spans="4:4" ht="12.75">
      <c r="D358" s="3"/>
    </row>
    <row r="359" spans="4:4" ht="12.75">
      <c r="D359" s="3"/>
    </row>
    <row r="360" spans="4:4" ht="12.75">
      <c r="D360" s="3"/>
    </row>
    <row r="361" spans="4:4" ht="12.75">
      <c r="D361" s="3"/>
    </row>
    <row r="362" spans="4:4" ht="12.75">
      <c r="D362" s="3"/>
    </row>
    <row r="363" spans="4:4" ht="12.75">
      <c r="D363" s="3"/>
    </row>
    <row r="364" spans="4:4" ht="12.75">
      <c r="D364" s="3"/>
    </row>
    <row r="365" spans="4:4" ht="12.75">
      <c r="D365" s="3"/>
    </row>
    <row r="366" spans="4:4" ht="12.75">
      <c r="D366" s="3"/>
    </row>
    <row r="367" spans="4:4" ht="12.75">
      <c r="D367" s="3"/>
    </row>
    <row r="368" spans="4:4" ht="12.75">
      <c r="D368" s="3"/>
    </row>
    <row r="369" spans="4:4" ht="12.75">
      <c r="D369" s="3"/>
    </row>
    <row r="370" spans="4:4" ht="12.75">
      <c r="D370" s="3"/>
    </row>
    <row r="371" spans="4:4" ht="12.75">
      <c r="D371" s="3"/>
    </row>
    <row r="372" spans="4:4" ht="12.75">
      <c r="D372" s="3"/>
    </row>
    <row r="373" spans="4:4" ht="12.75">
      <c r="D373" s="3"/>
    </row>
    <row r="374" spans="4:4" ht="12.75">
      <c r="D374" s="3"/>
    </row>
    <row r="375" spans="4:4" ht="12.75">
      <c r="D375" s="3"/>
    </row>
    <row r="376" spans="4:4" ht="12.75">
      <c r="D376" s="3"/>
    </row>
    <row r="377" spans="4:4" ht="12.75">
      <c r="D377" s="3"/>
    </row>
    <row r="378" spans="4:4" ht="12.75">
      <c r="D378" s="3"/>
    </row>
    <row r="379" spans="4:4" ht="12.75">
      <c r="D379" s="3"/>
    </row>
    <row r="380" spans="4:4" ht="12.75">
      <c r="D380" s="3"/>
    </row>
    <row r="381" spans="4:4" ht="12.75">
      <c r="D381" s="3"/>
    </row>
    <row r="382" spans="4:4" ht="12.75">
      <c r="D382" s="3"/>
    </row>
    <row r="383" spans="4:4" ht="12.75">
      <c r="D383" s="3"/>
    </row>
    <row r="384" spans="4:4" ht="12.75">
      <c r="D384" s="3"/>
    </row>
    <row r="385" spans="4:4" ht="12.75">
      <c r="D385" s="3"/>
    </row>
    <row r="386" spans="4:4" ht="12.75">
      <c r="D386" s="3"/>
    </row>
    <row r="387" spans="4:4" ht="12.75">
      <c r="D387" s="3"/>
    </row>
    <row r="388" spans="4:4" ht="12.75">
      <c r="D388" s="3"/>
    </row>
    <row r="389" spans="4:4" ht="12.75">
      <c r="D389" s="3"/>
    </row>
    <row r="390" spans="4:4" ht="12.75">
      <c r="D390" s="3"/>
    </row>
    <row r="391" spans="4:4" ht="12.75">
      <c r="D391" s="3"/>
    </row>
    <row r="392" spans="4:4" ht="12.75">
      <c r="D392" s="3"/>
    </row>
    <row r="393" spans="4:4" ht="12.75">
      <c r="D393" s="3"/>
    </row>
    <row r="394" spans="4:4" ht="12.75">
      <c r="D394" s="3"/>
    </row>
    <row r="395" spans="4:4" ht="12.75">
      <c r="D395" s="3"/>
    </row>
    <row r="396" spans="4:4" ht="12.75">
      <c r="D396" s="3"/>
    </row>
    <row r="397" spans="4:4" ht="12.75">
      <c r="D397" s="3"/>
    </row>
    <row r="398" spans="4:4" ht="12.75">
      <c r="D398" s="3"/>
    </row>
    <row r="399" spans="4:4" ht="12.75">
      <c r="D399" s="3"/>
    </row>
    <row r="400" spans="4:4" ht="12.75">
      <c r="D400" s="3"/>
    </row>
    <row r="401" spans="4:4" ht="12.75">
      <c r="D401" s="3"/>
    </row>
    <row r="402" spans="4:4" ht="12.75">
      <c r="D402" s="3"/>
    </row>
    <row r="403" spans="4:4" ht="12.75">
      <c r="D403" s="3"/>
    </row>
    <row r="404" spans="4:4" ht="12.75">
      <c r="D404" s="3"/>
    </row>
    <row r="405" spans="4:4" ht="12.75">
      <c r="D405" s="3"/>
    </row>
    <row r="406" spans="4:4" ht="12.75">
      <c r="D406" s="3"/>
    </row>
    <row r="407" spans="4:4" ht="12.75">
      <c r="D407" s="3"/>
    </row>
    <row r="408" spans="4:4" ht="12.75">
      <c r="D408" s="3"/>
    </row>
    <row r="409" spans="4:4" ht="12.75">
      <c r="D409" s="3"/>
    </row>
    <row r="410" spans="4:4" ht="12.75">
      <c r="D410" s="3"/>
    </row>
    <row r="411" spans="4:4" ht="12.75">
      <c r="D411" s="3"/>
    </row>
    <row r="412" spans="4:4" ht="12.75">
      <c r="D412" s="3"/>
    </row>
    <row r="413" spans="4:4" ht="12.75">
      <c r="D413" s="3"/>
    </row>
    <row r="414" spans="4:4" ht="12.75">
      <c r="D414" s="3"/>
    </row>
    <row r="415" spans="4:4" ht="12.75">
      <c r="D415" s="3"/>
    </row>
    <row r="416" spans="4:4" ht="12.75">
      <c r="D416" s="3"/>
    </row>
    <row r="417" spans="4:4" ht="12.75">
      <c r="D417" s="3"/>
    </row>
    <row r="418" spans="4:4" ht="12.75">
      <c r="D418" s="3"/>
    </row>
    <row r="419" spans="4:4" ht="12.75">
      <c r="D419" s="3"/>
    </row>
    <row r="420" spans="4:4" ht="12.75">
      <c r="D420" s="3"/>
    </row>
    <row r="421" spans="4:4" ht="12.75">
      <c r="D421" s="3"/>
    </row>
    <row r="422" spans="4:4" ht="12.75">
      <c r="D422" s="3"/>
    </row>
    <row r="423" spans="4:4" ht="12.75">
      <c r="D423" s="3"/>
    </row>
    <row r="424" spans="4:4" ht="12.75">
      <c r="D424" s="3"/>
    </row>
    <row r="425" spans="4:4" ht="12.75">
      <c r="D425" s="3"/>
    </row>
    <row r="426" spans="4:4" ht="12.75">
      <c r="D426" s="3"/>
    </row>
    <row r="427" spans="4:4" ht="12.75">
      <c r="D427" s="3"/>
    </row>
    <row r="428" spans="4:4" ht="12.75">
      <c r="D428" s="3"/>
    </row>
    <row r="429" spans="4:4" ht="12.75">
      <c r="D429" s="3"/>
    </row>
    <row r="430" spans="4:4" ht="12.75">
      <c r="D430" s="3"/>
    </row>
    <row r="431" spans="4:4" ht="12.75">
      <c r="D431" s="3"/>
    </row>
    <row r="432" spans="4:4" ht="12.75">
      <c r="D432" s="3"/>
    </row>
    <row r="433" spans="4:4" ht="12.75">
      <c r="D433" s="3"/>
    </row>
    <row r="434" spans="4:4" ht="12.75">
      <c r="D434" s="3"/>
    </row>
    <row r="435" spans="4:4" ht="12.75">
      <c r="D435" s="3"/>
    </row>
    <row r="436" spans="4:4" ht="12.75">
      <c r="D436" s="3"/>
    </row>
    <row r="437" spans="4:4" ht="12.75">
      <c r="D437" s="3"/>
    </row>
    <row r="438" spans="4:4" ht="12.75">
      <c r="D438" s="3"/>
    </row>
    <row r="439" spans="4:4" ht="12.75">
      <c r="D439" s="3"/>
    </row>
    <row r="440" spans="4:4" ht="12.75">
      <c r="D440" s="3"/>
    </row>
    <row r="441" spans="4:4" ht="12.75">
      <c r="D441" s="3"/>
    </row>
    <row r="442" spans="4:4" ht="12.75">
      <c r="D442" s="3"/>
    </row>
    <row r="443" spans="4:4" ht="12.75">
      <c r="D443" s="3"/>
    </row>
    <row r="444" spans="4:4" ht="12.75">
      <c r="D444" s="3"/>
    </row>
    <row r="445" spans="4:4" ht="12.75">
      <c r="D445" s="3"/>
    </row>
    <row r="446" spans="4:4" ht="12.75">
      <c r="D446" s="3"/>
    </row>
    <row r="447" spans="4:4" ht="12.75">
      <c r="D447" s="3"/>
    </row>
    <row r="448" spans="4:4" ht="12.75">
      <c r="D448" s="3"/>
    </row>
    <row r="449" spans="4:4" ht="12.75">
      <c r="D449" s="3"/>
    </row>
    <row r="450" spans="4:4" ht="12.75">
      <c r="D450" s="3"/>
    </row>
    <row r="451" spans="4:4" ht="12.75">
      <c r="D451" s="3"/>
    </row>
    <row r="452" spans="4:4" ht="12.75">
      <c r="D452" s="3"/>
    </row>
    <row r="453" spans="4:4" ht="12.75">
      <c r="D453" s="3"/>
    </row>
    <row r="454" spans="4:4" ht="12.75">
      <c r="D454" s="3"/>
    </row>
    <row r="455" spans="4:4" ht="12.75">
      <c r="D455" s="3"/>
    </row>
    <row r="456" spans="4:4" ht="12.75">
      <c r="D456" s="3"/>
    </row>
    <row r="457" spans="4:4" ht="12.75">
      <c r="D457" s="3"/>
    </row>
    <row r="458" spans="4:4" ht="12.75">
      <c r="D458" s="3"/>
    </row>
    <row r="459" spans="4:4" ht="12.75">
      <c r="D459" s="3"/>
    </row>
    <row r="460" spans="4:4" ht="12.75">
      <c r="D460" s="3"/>
    </row>
    <row r="461" spans="4:4" ht="12.75">
      <c r="D461" s="3"/>
    </row>
    <row r="462" spans="4:4" ht="12.75">
      <c r="D462" s="3"/>
    </row>
    <row r="463" spans="4:4" ht="12.75">
      <c r="D463" s="3"/>
    </row>
    <row r="464" spans="4:4" ht="12.75">
      <c r="D464" s="3"/>
    </row>
    <row r="465" spans="4:4" ht="12.75">
      <c r="D465" s="3"/>
    </row>
    <row r="466" spans="4:4" ht="12.75">
      <c r="D466" s="3"/>
    </row>
    <row r="467" spans="4:4" ht="12.75">
      <c r="D467" s="3"/>
    </row>
    <row r="468" spans="4:4" ht="12.75">
      <c r="D468" s="3"/>
    </row>
    <row r="469" spans="4:4" ht="12.75">
      <c r="D469" s="3"/>
    </row>
    <row r="470" spans="4:4" ht="12.75">
      <c r="D470" s="3"/>
    </row>
    <row r="471" spans="4:4" ht="12.75">
      <c r="D471" s="3"/>
    </row>
    <row r="472" spans="4:4" ht="12.75">
      <c r="D472" s="3"/>
    </row>
    <row r="473" spans="4:4" ht="12.75">
      <c r="D473" s="3"/>
    </row>
    <row r="474" spans="4:4" ht="12.75">
      <c r="D474" s="3"/>
    </row>
    <row r="475" spans="4:4" ht="12.75">
      <c r="D475" s="3"/>
    </row>
    <row r="476" spans="4:4" ht="12.75">
      <c r="D476" s="3"/>
    </row>
    <row r="477" spans="4:4" ht="12.75">
      <c r="D477" s="3"/>
    </row>
    <row r="478" spans="4:4" ht="12.75">
      <c r="D478" s="3"/>
    </row>
    <row r="479" spans="4:4" ht="12.75">
      <c r="D479" s="3"/>
    </row>
    <row r="480" spans="4:4" ht="12.75">
      <c r="D480" s="3"/>
    </row>
    <row r="481" spans="4:4" ht="12.75">
      <c r="D481" s="3"/>
    </row>
    <row r="482" spans="4:4" ht="12.75">
      <c r="D482" s="3"/>
    </row>
    <row r="483" spans="4:4" ht="12.75">
      <c r="D483" s="3"/>
    </row>
    <row r="484" spans="4:4" ht="12.75">
      <c r="D484" s="3"/>
    </row>
    <row r="485" spans="4:4" ht="12.75">
      <c r="D485" s="3"/>
    </row>
    <row r="486" spans="4:4" ht="12.75">
      <c r="D486" s="3"/>
    </row>
    <row r="487" spans="4:4" ht="12.75">
      <c r="D487" s="3"/>
    </row>
    <row r="488" spans="4:4" ht="12.75">
      <c r="D488" s="3"/>
    </row>
    <row r="489" spans="4:4" ht="12.75">
      <c r="D489" s="3"/>
    </row>
    <row r="490" spans="4:4" ht="12.75">
      <c r="D490" s="3"/>
    </row>
    <row r="491" spans="4:4" ht="12.75">
      <c r="D491" s="3"/>
    </row>
    <row r="492" spans="4:4" ht="12.75">
      <c r="D492" s="3"/>
    </row>
    <row r="493" spans="4:4" ht="12.75">
      <c r="D493" s="3"/>
    </row>
    <row r="494" spans="4:4" ht="12.75">
      <c r="D494" s="3"/>
    </row>
    <row r="495" spans="4:4" ht="12.75">
      <c r="D495" s="3"/>
    </row>
    <row r="496" spans="4:4" ht="12.75">
      <c r="D496" s="3"/>
    </row>
    <row r="497" spans="4:4" ht="12.75">
      <c r="D497" s="3"/>
    </row>
    <row r="498" spans="4:4" ht="12.75">
      <c r="D498" s="3"/>
    </row>
    <row r="499" spans="4:4" ht="12.75">
      <c r="D499" s="3"/>
    </row>
    <row r="500" spans="4:4" ht="12.75">
      <c r="D500" s="3"/>
    </row>
    <row r="501" spans="4:4" ht="12.75">
      <c r="D501" s="3"/>
    </row>
    <row r="502" spans="4:4" ht="12.75">
      <c r="D502" s="3"/>
    </row>
    <row r="503" spans="4:4" ht="12.75">
      <c r="D503" s="3"/>
    </row>
    <row r="504" spans="4:4" ht="12.75">
      <c r="D504" s="3"/>
    </row>
    <row r="505" spans="4:4" ht="12.75">
      <c r="D505" s="3"/>
    </row>
    <row r="506" spans="4:4" ht="12.75">
      <c r="D506" s="3"/>
    </row>
    <row r="507" spans="4:4" ht="12.75">
      <c r="D507" s="3"/>
    </row>
    <row r="508" spans="4:4" ht="12.75">
      <c r="D508" s="3"/>
    </row>
    <row r="509" spans="4:4" ht="12.75">
      <c r="D509" s="3"/>
    </row>
    <row r="510" spans="4:4" ht="12.75">
      <c r="D510" s="3"/>
    </row>
    <row r="511" spans="4:4" ht="12.75">
      <c r="D511" s="3"/>
    </row>
    <row r="512" spans="4:4" ht="12.75">
      <c r="D512" s="3"/>
    </row>
    <row r="513" spans="4:4" ht="12.75">
      <c r="D513" s="3"/>
    </row>
    <row r="514" spans="4:4" ht="12.75">
      <c r="D514" s="3"/>
    </row>
    <row r="515" spans="4:4" ht="12.75">
      <c r="D515" s="3"/>
    </row>
    <row r="516" spans="4:4" ht="12.75">
      <c r="D516" s="3"/>
    </row>
    <row r="517" spans="4:4" ht="12.75">
      <c r="D517" s="3"/>
    </row>
    <row r="518" spans="4:4" ht="12.75">
      <c r="D518" s="3"/>
    </row>
    <row r="519" spans="4:4" ht="12.75">
      <c r="D519" s="3"/>
    </row>
    <row r="520" spans="4:4" ht="12.75">
      <c r="D520" s="3"/>
    </row>
    <row r="521" spans="4:4" ht="12.75">
      <c r="D521" s="3"/>
    </row>
    <row r="522" spans="4:4" ht="12.75">
      <c r="D522" s="3"/>
    </row>
    <row r="523" spans="4:4" ht="12.75">
      <c r="D523" s="3"/>
    </row>
    <row r="524" spans="4:4" ht="12.75">
      <c r="D524" s="3"/>
    </row>
    <row r="525" spans="4:4" ht="12.75">
      <c r="D525" s="3"/>
    </row>
    <row r="526" spans="4:4" ht="12.75">
      <c r="D526" s="3"/>
    </row>
    <row r="527" spans="4:4" ht="12.75">
      <c r="D527" s="3"/>
    </row>
    <row r="528" spans="4:4" ht="12.75">
      <c r="D528" s="3"/>
    </row>
    <row r="529" spans="4:4" ht="12.75">
      <c r="D529" s="3"/>
    </row>
    <row r="530" spans="4:4" ht="12.75">
      <c r="D530" s="3"/>
    </row>
    <row r="531" spans="4:4" ht="12.75">
      <c r="D531" s="3"/>
    </row>
    <row r="532" spans="4:4" ht="12.75">
      <c r="D532" s="3"/>
    </row>
    <row r="533" spans="4:4" ht="12.75">
      <c r="D533" s="3"/>
    </row>
    <row r="534" spans="4:4" ht="12.75">
      <c r="D534" s="3"/>
    </row>
    <row r="535" spans="4:4" ht="12.75">
      <c r="D535" s="3"/>
    </row>
    <row r="536" spans="4:4" ht="12.75">
      <c r="D536" s="3"/>
    </row>
    <row r="537" spans="4:4" ht="12.75">
      <c r="D537" s="3"/>
    </row>
    <row r="538" spans="4:4" ht="12.75">
      <c r="D538" s="3"/>
    </row>
    <row r="539" spans="4:4" ht="12.75">
      <c r="D539" s="3"/>
    </row>
    <row r="540" spans="4:4" ht="12.75">
      <c r="D540" s="3"/>
    </row>
    <row r="541" spans="4:4" ht="12.75">
      <c r="D541" s="3"/>
    </row>
    <row r="542" spans="4:4" ht="12.75">
      <c r="D542" s="3"/>
    </row>
    <row r="543" spans="4:4" ht="12.75">
      <c r="D543" s="3"/>
    </row>
    <row r="544" spans="4:4" ht="12.75">
      <c r="D544" s="3"/>
    </row>
    <row r="545" spans="4:4" ht="12.75">
      <c r="D545" s="3"/>
    </row>
    <row r="546" spans="4:4" ht="12.75">
      <c r="D546" s="3"/>
    </row>
    <row r="547" spans="4:4" ht="12.75">
      <c r="D547" s="3"/>
    </row>
    <row r="548" spans="4:4" ht="12.75">
      <c r="D548" s="3"/>
    </row>
    <row r="549" spans="4:4" ht="12.75">
      <c r="D549" s="3"/>
    </row>
    <row r="550" spans="4:4" ht="12.75">
      <c r="D550" s="3"/>
    </row>
    <row r="551" spans="4:4" ht="12.75">
      <c r="D551" s="3"/>
    </row>
    <row r="552" spans="4:4" ht="12.75">
      <c r="D552" s="3"/>
    </row>
    <row r="553" spans="4:4" ht="12.75">
      <c r="D553" s="3"/>
    </row>
    <row r="554" spans="4:4" ht="12.75">
      <c r="D554" s="3"/>
    </row>
    <row r="555" spans="4:4" ht="12.75">
      <c r="D555" s="3"/>
    </row>
    <row r="556" spans="4:4" ht="12.75">
      <c r="D556" s="3"/>
    </row>
    <row r="557" spans="4:4" ht="12.75">
      <c r="D557" s="3"/>
    </row>
    <row r="558" spans="4:4" ht="12.75">
      <c r="D558" s="3"/>
    </row>
    <row r="559" spans="4:4" ht="12.75">
      <c r="D559" s="3"/>
    </row>
    <row r="560" spans="4:4" ht="12.75">
      <c r="D560" s="3"/>
    </row>
    <row r="561" spans="4:4" ht="12.75">
      <c r="D561" s="3"/>
    </row>
    <row r="562" spans="4:4" ht="12.75">
      <c r="D562" s="3"/>
    </row>
    <row r="563" spans="4:4" ht="12.75">
      <c r="D563" s="3"/>
    </row>
    <row r="564" spans="4:4" ht="12.75">
      <c r="D564" s="3"/>
    </row>
    <row r="565" spans="4:4" ht="12.75">
      <c r="D565" s="3"/>
    </row>
    <row r="566" spans="4:4" ht="12.75">
      <c r="D566" s="3"/>
    </row>
    <row r="567" spans="4:4" ht="12.75">
      <c r="D567" s="3"/>
    </row>
    <row r="568" spans="4:4" ht="12.75">
      <c r="D568" s="3"/>
    </row>
    <row r="569" spans="4:4" ht="12.75">
      <c r="D569" s="3"/>
    </row>
    <row r="570" spans="4:4" ht="12.75">
      <c r="D570" s="3"/>
    </row>
    <row r="571" spans="4:4" ht="12.75">
      <c r="D571" s="3"/>
    </row>
    <row r="572" spans="4:4" ht="12.75">
      <c r="D572" s="3"/>
    </row>
    <row r="573" spans="4:4" ht="12.75">
      <c r="D573" s="3"/>
    </row>
    <row r="574" spans="4:4" ht="12.75">
      <c r="D574" s="3"/>
    </row>
    <row r="575" spans="4:4" ht="12.75">
      <c r="D575" s="3"/>
    </row>
    <row r="576" spans="4:4" ht="12.75">
      <c r="D576" s="3"/>
    </row>
    <row r="577" spans="4:4" ht="12.75">
      <c r="D577" s="3"/>
    </row>
    <row r="578" spans="4:4" ht="12.75">
      <c r="D578" s="3"/>
    </row>
    <row r="579" spans="4:4" ht="12.75">
      <c r="D579" s="3"/>
    </row>
    <row r="580" spans="4:4" ht="12.75">
      <c r="D580" s="3"/>
    </row>
    <row r="581" spans="4:4" ht="12.75">
      <c r="D581" s="3"/>
    </row>
    <row r="582" spans="4:4" ht="12.75">
      <c r="D582" s="3"/>
    </row>
    <row r="583" spans="4:4" ht="12.75">
      <c r="D583" s="3"/>
    </row>
    <row r="584" spans="4:4" ht="12.75">
      <c r="D584" s="3"/>
    </row>
    <row r="585" spans="4:4" ht="12.75">
      <c r="D585" s="3"/>
    </row>
    <row r="586" spans="4:4" ht="12.75">
      <c r="D586" s="3"/>
    </row>
    <row r="587" spans="4:4" ht="12.75">
      <c r="D587" s="3"/>
    </row>
    <row r="588" spans="4:4" ht="12.75">
      <c r="D588" s="3"/>
    </row>
    <row r="589" spans="4:4" ht="12.75">
      <c r="D589" s="3"/>
    </row>
    <row r="590" spans="4:4" ht="12.75">
      <c r="D590" s="3"/>
    </row>
    <row r="591" spans="4:4" ht="12.75">
      <c r="D591" s="3"/>
    </row>
    <row r="592" spans="4:4" ht="12.75">
      <c r="D592" s="3"/>
    </row>
    <row r="593" spans="4:4" ht="12.75">
      <c r="D593" s="3"/>
    </row>
    <row r="594" spans="4:4" ht="12.75">
      <c r="D594" s="3"/>
    </row>
    <row r="595" spans="4:4" ht="12.75">
      <c r="D595" s="3"/>
    </row>
    <row r="596" spans="4:4" ht="12.75">
      <c r="D596" s="3"/>
    </row>
    <row r="597" spans="4:4" ht="12.75">
      <c r="D597" s="3"/>
    </row>
    <row r="598" spans="4:4" ht="12.75">
      <c r="D598" s="3"/>
    </row>
    <row r="599" spans="4:4" ht="12.75">
      <c r="D599" s="3"/>
    </row>
    <row r="600" spans="4:4" ht="12.75">
      <c r="D600" s="3"/>
    </row>
    <row r="601" spans="4:4" ht="12.75">
      <c r="D601" s="3"/>
    </row>
    <row r="602" spans="4:4" ht="12.75">
      <c r="D602" s="3"/>
    </row>
    <row r="603" spans="4:4" ht="12.75">
      <c r="D603" s="3"/>
    </row>
    <row r="604" spans="4:4" ht="12.75">
      <c r="D604" s="3"/>
    </row>
    <row r="605" spans="4:4" ht="12.75">
      <c r="D605" s="3"/>
    </row>
    <row r="606" spans="4:4" ht="12.75">
      <c r="D606" s="3"/>
    </row>
    <row r="607" spans="4:4" ht="12.75">
      <c r="D607" s="3"/>
    </row>
    <row r="608" spans="4:4" ht="12.75">
      <c r="D608" s="3"/>
    </row>
    <row r="609" spans="4:4" ht="12.75">
      <c r="D609" s="3"/>
    </row>
    <row r="610" spans="4:4" ht="12.75">
      <c r="D610" s="3"/>
    </row>
    <row r="611" spans="4:4" ht="12.75">
      <c r="D611" s="3"/>
    </row>
    <row r="612" spans="4:4" ht="12.75">
      <c r="D612" s="3"/>
    </row>
    <row r="613" spans="4:4" ht="12.75">
      <c r="D613" s="3"/>
    </row>
    <row r="614" spans="4:4" ht="12.75">
      <c r="D614" s="3"/>
    </row>
    <row r="615" spans="4:4" ht="12.75">
      <c r="D615" s="3"/>
    </row>
    <row r="616" spans="4:4" ht="12.75">
      <c r="D616" s="3"/>
    </row>
    <row r="617" spans="4:4" ht="12.75">
      <c r="D617" s="3"/>
    </row>
    <row r="618" spans="4:4" ht="12.75">
      <c r="D618" s="3"/>
    </row>
    <row r="619" spans="4:4" ht="12.75">
      <c r="D619" s="3"/>
    </row>
    <row r="620" spans="4:4" ht="12.75">
      <c r="D620" s="3"/>
    </row>
    <row r="621" spans="4:4" ht="12.75">
      <c r="D621" s="3"/>
    </row>
    <row r="622" spans="4:4" ht="12.75">
      <c r="D622" s="3"/>
    </row>
    <row r="623" spans="4:4" ht="12.75">
      <c r="D623" s="3"/>
    </row>
    <row r="624" spans="4:4" ht="12.75">
      <c r="D624" s="3"/>
    </row>
    <row r="625" spans="4:4" ht="12.75">
      <c r="D625" s="3"/>
    </row>
    <row r="626" spans="4:4" ht="12.75">
      <c r="D626" s="3"/>
    </row>
    <row r="627" spans="4:4" ht="12.75">
      <c r="D627" s="3"/>
    </row>
    <row r="628" spans="4:4" ht="12.75">
      <c r="D628" s="3"/>
    </row>
    <row r="629" spans="4:4" ht="12.75">
      <c r="D629" s="3"/>
    </row>
    <row r="630" spans="4:4" ht="12.75">
      <c r="D630" s="3"/>
    </row>
    <row r="631" spans="4:4" ht="12.75">
      <c r="D631" s="3"/>
    </row>
    <row r="632" spans="4:4" ht="12.75">
      <c r="D632" s="3"/>
    </row>
    <row r="633" spans="4:4" ht="12.75">
      <c r="D633" s="3"/>
    </row>
    <row r="634" spans="4:4" ht="12.75">
      <c r="D634" s="3"/>
    </row>
    <row r="635" spans="4:4" ht="12.75">
      <c r="D635" s="3"/>
    </row>
    <row r="636" spans="4:4" ht="12.75">
      <c r="D636" s="3"/>
    </row>
    <row r="637" spans="4:4" ht="12.75">
      <c r="D637" s="3"/>
    </row>
    <row r="638" spans="4:4" ht="12.75">
      <c r="D638" s="3"/>
    </row>
    <row r="639" spans="4:4" ht="12.75">
      <c r="D639" s="3"/>
    </row>
    <row r="640" spans="4:4" ht="12.75">
      <c r="D640" s="3"/>
    </row>
    <row r="641" spans="4:4" ht="12.75">
      <c r="D641" s="3"/>
    </row>
    <row r="642" spans="4:4" ht="12.75">
      <c r="D642" s="3"/>
    </row>
    <row r="643" spans="4:4" ht="12.75">
      <c r="D643" s="3"/>
    </row>
    <row r="644" spans="4:4" ht="12.75">
      <c r="D644" s="3"/>
    </row>
    <row r="645" spans="4:4" ht="12.75">
      <c r="D645" s="3"/>
    </row>
    <row r="646" spans="4:4" ht="12.75">
      <c r="D646" s="3"/>
    </row>
    <row r="647" spans="4:4" ht="12.75">
      <c r="D647" s="3"/>
    </row>
    <row r="648" spans="4:4" ht="12.75">
      <c r="D648" s="3"/>
    </row>
    <row r="649" spans="4:4" ht="12.75">
      <c r="D649" s="3"/>
    </row>
    <row r="650" spans="4:4" ht="12.75">
      <c r="D650" s="3"/>
    </row>
    <row r="651" spans="4:4" ht="12.75">
      <c r="D651" s="3"/>
    </row>
    <row r="652" spans="4:4" ht="12.75">
      <c r="D652" s="3"/>
    </row>
    <row r="653" spans="4:4" ht="12.75">
      <c r="D653" s="3"/>
    </row>
    <row r="654" spans="4:4" ht="12.75">
      <c r="D654" s="3"/>
    </row>
    <row r="655" spans="4:4" ht="12.75">
      <c r="D655" s="3"/>
    </row>
    <row r="656" spans="4:4" ht="12.75">
      <c r="D656" s="3"/>
    </row>
    <row r="657" spans="4:4" ht="12.75">
      <c r="D657" s="3"/>
    </row>
    <row r="658" spans="4:4" ht="12.75">
      <c r="D658" s="3"/>
    </row>
    <row r="659" spans="4:4" ht="12.75">
      <c r="D659" s="3"/>
    </row>
    <row r="660" spans="4:4" ht="12.75">
      <c r="D660" s="3"/>
    </row>
    <row r="661" spans="4:4" ht="12.75">
      <c r="D661" s="3"/>
    </row>
    <row r="662" spans="4:4" ht="12.75">
      <c r="D662" s="3"/>
    </row>
    <row r="663" spans="4:4" ht="12.75">
      <c r="D663" s="3"/>
    </row>
    <row r="664" spans="4:4" ht="12.75">
      <c r="D664" s="3"/>
    </row>
    <row r="665" spans="4:4" ht="12.75">
      <c r="D665" s="3"/>
    </row>
    <row r="666" spans="4:4" ht="12.75">
      <c r="D666" s="3"/>
    </row>
    <row r="667" spans="4:4" ht="12.75">
      <c r="D667" s="3"/>
    </row>
    <row r="668" spans="4:4" ht="12.75">
      <c r="D668" s="3"/>
    </row>
    <row r="669" spans="4:4" ht="12.75">
      <c r="D669" s="3"/>
    </row>
    <row r="670" spans="4:4" ht="12.75">
      <c r="D670" s="3"/>
    </row>
    <row r="671" spans="4:4" ht="12.75">
      <c r="D671" s="3"/>
    </row>
    <row r="672" spans="4:4" ht="12.75">
      <c r="D672" s="3"/>
    </row>
    <row r="673" spans="4:4" ht="12.75">
      <c r="D673" s="3"/>
    </row>
    <row r="674" spans="4:4" ht="12.75">
      <c r="D674" s="3"/>
    </row>
    <row r="675" spans="4:4" ht="12.75">
      <c r="D675" s="3"/>
    </row>
    <row r="676" spans="4:4" ht="12.75">
      <c r="D676" s="3"/>
    </row>
    <row r="677" spans="4:4" ht="12.75">
      <c r="D677" s="3"/>
    </row>
    <row r="678" spans="4:4" ht="12.75">
      <c r="D678" s="3"/>
    </row>
    <row r="679" spans="4:4" ht="12.75">
      <c r="D679" s="3"/>
    </row>
    <row r="680" spans="4:4" ht="12.75">
      <c r="D680" s="3"/>
    </row>
    <row r="681" spans="4:4" ht="12.75">
      <c r="D681" s="3"/>
    </row>
    <row r="682" spans="4:4" ht="12.75">
      <c r="D682" s="3"/>
    </row>
    <row r="683" spans="4:4" ht="12.75">
      <c r="D683" s="3"/>
    </row>
    <row r="684" spans="4:4" ht="12.75">
      <c r="D684" s="3"/>
    </row>
    <row r="685" spans="4:4" ht="12.75">
      <c r="D685" s="3"/>
    </row>
    <row r="686" spans="4:4" ht="12.75">
      <c r="D686" s="3"/>
    </row>
    <row r="687" spans="4:4" ht="12.75">
      <c r="D687" s="3"/>
    </row>
    <row r="688" spans="4:4" ht="12.75">
      <c r="D688" s="3"/>
    </row>
    <row r="689" spans="4:4" ht="12.75">
      <c r="D689" s="3"/>
    </row>
    <row r="690" spans="4:4" ht="12.75">
      <c r="D690" s="3"/>
    </row>
    <row r="691" spans="4:4" ht="12.75">
      <c r="D691" s="3"/>
    </row>
    <row r="692" spans="4:4" ht="12.75">
      <c r="D692" s="3"/>
    </row>
    <row r="693" spans="4:4" ht="12.75">
      <c r="D693" s="3"/>
    </row>
    <row r="694" spans="4:4" ht="12.75">
      <c r="D694" s="3"/>
    </row>
    <row r="695" spans="4:4" ht="12.75">
      <c r="D695" s="3"/>
    </row>
    <row r="696" spans="4:4" ht="12.75">
      <c r="D696" s="3"/>
    </row>
    <row r="697" spans="4:4" ht="12.75">
      <c r="D697" s="3"/>
    </row>
    <row r="698" spans="4:4" ht="12.75">
      <c r="D698" s="3"/>
    </row>
    <row r="699" spans="4:4" ht="12.75">
      <c r="D699" s="3"/>
    </row>
    <row r="700" spans="4:4" ht="12.75">
      <c r="D700" s="3"/>
    </row>
    <row r="701" spans="4:4" ht="12.75">
      <c r="D701" s="3"/>
    </row>
    <row r="702" spans="4:4" ht="12.75">
      <c r="D702" s="3"/>
    </row>
    <row r="703" spans="4:4" ht="12.75">
      <c r="D703" s="3"/>
    </row>
    <row r="704" spans="4:4" ht="12.75">
      <c r="D704" s="3"/>
    </row>
    <row r="705" spans="4:4" ht="12.75">
      <c r="D705" s="3"/>
    </row>
    <row r="706" spans="4:4" ht="12.75">
      <c r="D706" s="3"/>
    </row>
    <row r="707" spans="4:4" ht="12.75">
      <c r="D707" s="3"/>
    </row>
    <row r="708" spans="4:4" ht="12.75">
      <c r="D708" s="3"/>
    </row>
    <row r="709" spans="4:4" ht="12.75">
      <c r="D709" s="3"/>
    </row>
    <row r="710" spans="4:4" ht="12.75">
      <c r="D710" s="3"/>
    </row>
    <row r="711" spans="4:4" ht="12.75">
      <c r="D711" s="3"/>
    </row>
    <row r="712" spans="4:4" ht="12.75">
      <c r="D712" s="3"/>
    </row>
    <row r="713" spans="4:4" ht="12.75">
      <c r="D713" s="3"/>
    </row>
    <row r="714" spans="4:4" ht="12.75">
      <c r="D714" s="3"/>
    </row>
    <row r="715" spans="4:4" ht="12.75">
      <c r="D715" s="3"/>
    </row>
    <row r="716" spans="4:4" ht="12.75">
      <c r="D716" s="3"/>
    </row>
    <row r="717" spans="4:4" ht="12.75">
      <c r="D717" s="3"/>
    </row>
    <row r="718" spans="4:4" ht="12.75">
      <c r="D718" s="3"/>
    </row>
    <row r="719" spans="4:4" ht="12.75">
      <c r="D719" s="3"/>
    </row>
    <row r="720" spans="4:4" ht="12.75">
      <c r="D720" s="3"/>
    </row>
    <row r="721" spans="4:4" ht="12.75">
      <c r="D721" s="3"/>
    </row>
    <row r="722" spans="4:4" ht="12.75">
      <c r="D722" s="3"/>
    </row>
    <row r="723" spans="4:4" ht="12.75">
      <c r="D723" s="3"/>
    </row>
    <row r="724" spans="4:4" ht="12.75">
      <c r="D724" s="3"/>
    </row>
    <row r="725" spans="4:4" ht="12.75">
      <c r="D725" s="3"/>
    </row>
    <row r="726" spans="4:4" ht="12.75">
      <c r="D726" s="3"/>
    </row>
    <row r="727" spans="4:4" ht="12.75">
      <c r="D727" s="3"/>
    </row>
    <row r="728" spans="4:4" ht="12.75">
      <c r="D728" s="3"/>
    </row>
    <row r="729" spans="4:4" ht="12.75">
      <c r="D729" s="3"/>
    </row>
    <row r="730" spans="4:4" ht="12.75">
      <c r="D730" s="3"/>
    </row>
    <row r="731" spans="4:4" ht="12.75">
      <c r="D731" s="3"/>
    </row>
    <row r="732" spans="4:4" ht="12.75">
      <c r="D732" s="3"/>
    </row>
    <row r="733" spans="4:4" ht="12.75">
      <c r="D733" s="3"/>
    </row>
    <row r="734" spans="4:4" ht="12.75">
      <c r="D734" s="3"/>
    </row>
    <row r="735" spans="4:4" ht="12.75">
      <c r="D735" s="3"/>
    </row>
    <row r="736" spans="4:4" ht="12.75">
      <c r="D736" s="3"/>
    </row>
    <row r="737" spans="4:4" ht="12.75">
      <c r="D737" s="3"/>
    </row>
    <row r="738" spans="4:4" ht="12.75">
      <c r="D738" s="3"/>
    </row>
    <row r="739" spans="4:4" ht="12.75">
      <c r="D739" s="3"/>
    </row>
    <row r="740" spans="4:4" ht="12.75">
      <c r="D740" s="3"/>
    </row>
    <row r="741" spans="4:4" ht="12.75">
      <c r="D741" s="3"/>
    </row>
    <row r="742" spans="4:4" ht="12.75">
      <c r="D742" s="3"/>
    </row>
    <row r="743" spans="4:4" ht="12.75">
      <c r="D743" s="3"/>
    </row>
    <row r="744" spans="4:4" ht="12.75">
      <c r="D744" s="3"/>
    </row>
    <row r="745" spans="4:4" ht="12.75">
      <c r="D745" s="3"/>
    </row>
    <row r="746" spans="4:4" ht="12.75">
      <c r="D746" s="3"/>
    </row>
    <row r="747" spans="4:4" ht="12.75">
      <c r="D747" s="3"/>
    </row>
    <row r="748" spans="4:4" ht="12.75">
      <c r="D748" s="3"/>
    </row>
    <row r="749" spans="4:4" ht="12.75">
      <c r="D749" s="3"/>
    </row>
    <row r="750" spans="4:4" ht="12.75">
      <c r="D750" s="3"/>
    </row>
    <row r="751" spans="4:4" ht="12.75">
      <c r="D751" s="3"/>
    </row>
    <row r="752" spans="4:4" ht="12.75">
      <c r="D752" s="3"/>
    </row>
    <row r="753" spans="4:4" ht="12.75">
      <c r="D753" s="3"/>
    </row>
    <row r="754" spans="4:4" ht="12.75">
      <c r="D754" s="3"/>
    </row>
    <row r="755" spans="4:4" ht="12.75">
      <c r="D755" s="3"/>
    </row>
    <row r="756" spans="4:4" ht="12.75">
      <c r="D756" s="3"/>
    </row>
    <row r="757" spans="4:4" ht="12.75">
      <c r="D757" s="3"/>
    </row>
    <row r="758" spans="4:4" ht="12.75">
      <c r="D758" s="3"/>
    </row>
    <row r="759" spans="4:4" ht="12.75">
      <c r="D759" s="3"/>
    </row>
    <row r="760" spans="4:4" ht="12.75">
      <c r="D760" s="3"/>
    </row>
    <row r="761" spans="4:4" ht="12.75">
      <c r="D761" s="3"/>
    </row>
    <row r="762" spans="4:4" ht="12.75">
      <c r="D762" s="3"/>
    </row>
    <row r="763" spans="4:4" ht="12.75">
      <c r="D763" s="3"/>
    </row>
    <row r="764" spans="4:4" ht="12.75">
      <c r="D764" s="3"/>
    </row>
    <row r="765" spans="4:4" ht="12.75">
      <c r="D765" s="3"/>
    </row>
    <row r="766" spans="4:4" ht="12.75">
      <c r="D766" s="3"/>
    </row>
    <row r="767" spans="4:4" ht="12.75">
      <c r="D767" s="3"/>
    </row>
    <row r="768" spans="4:4" ht="12.75">
      <c r="D768" s="3"/>
    </row>
    <row r="769" spans="4:4" ht="12.75">
      <c r="D769" s="3"/>
    </row>
    <row r="770" spans="4:4" ht="12.75">
      <c r="D770" s="3"/>
    </row>
    <row r="771" spans="4:4" ht="12.75">
      <c r="D771" s="3"/>
    </row>
    <row r="772" spans="4:4" ht="12.75">
      <c r="D772" s="3"/>
    </row>
    <row r="773" spans="4:4" ht="12.75">
      <c r="D773" s="3"/>
    </row>
    <row r="774" spans="4:4" ht="12.75">
      <c r="D774" s="3"/>
    </row>
    <row r="775" spans="4:4" ht="12.75">
      <c r="D775" s="3"/>
    </row>
    <row r="776" spans="4:4" ht="12.75">
      <c r="D776" s="3"/>
    </row>
    <row r="777" spans="4:4" ht="12.75">
      <c r="D777" s="3"/>
    </row>
    <row r="778" spans="4:4" ht="12.75">
      <c r="D778" s="3"/>
    </row>
    <row r="779" spans="4:4" ht="12.75">
      <c r="D779" s="3"/>
    </row>
    <row r="780" spans="4:4" ht="12.75">
      <c r="D780" s="3"/>
    </row>
    <row r="781" spans="4:4" ht="12.75">
      <c r="D781" s="3"/>
    </row>
    <row r="782" spans="4:4" ht="12.75">
      <c r="D782" s="3"/>
    </row>
    <row r="783" spans="4:4" ht="12.75">
      <c r="D783" s="3"/>
    </row>
    <row r="784" spans="4:4" ht="12.75">
      <c r="D784" s="3"/>
    </row>
    <row r="785" spans="4:4" ht="12.75">
      <c r="D785" s="3"/>
    </row>
    <row r="786" spans="4:4" ht="12.75">
      <c r="D786" s="3"/>
    </row>
    <row r="787" spans="4:4" ht="12.75">
      <c r="D787" s="3"/>
    </row>
    <row r="788" spans="4:4" ht="12.75">
      <c r="D788" s="3"/>
    </row>
    <row r="789" spans="4:4" ht="12.75">
      <c r="D789" s="3"/>
    </row>
    <row r="790" spans="4:4" ht="12.75">
      <c r="D790" s="3"/>
    </row>
    <row r="791" spans="4:4" ht="12.75">
      <c r="D791" s="3"/>
    </row>
    <row r="792" spans="4:4" ht="12.75">
      <c r="D792" s="3"/>
    </row>
    <row r="793" spans="4:4" ht="12.75">
      <c r="D793" s="3"/>
    </row>
    <row r="794" spans="4:4" ht="12.75">
      <c r="D794" s="3"/>
    </row>
    <row r="795" spans="4:4" ht="12.75">
      <c r="D795" s="3"/>
    </row>
    <row r="796" spans="4:4" ht="12.75">
      <c r="D796" s="3"/>
    </row>
    <row r="797" spans="4:4" ht="12.75">
      <c r="D797" s="3"/>
    </row>
    <row r="798" spans="4:4" ht="12.75">
      <c r="D798" s="3"/>
    </row>
    <row r="799" spans="4:4" ht="12.75">
      <c r="D799" s="3"/>
    </row>
    <row r="800" spans="4:4" ht="12.75">
      <c r="D800" s="3"/>
    </row>
    <row r="801" spans="4:4" ht="12.75">
      <c r="D801" s="3"/>
    </row>
    <row r="802" spans="4:4" ht="12.75">
      <c r="D802" s="3"/>
    </row>
    <row r="803" spans="4:4" ht="12.75">
      <c r="D803" s="3"/>
    </row>
    <row r="804" spans="4:4" ht="12.75">
      <c r="D804" s="3"/>
    </row>
    <row r="805" spans="4:4" ht="12.75">
      <c r="D805" s="3"/>
    </row>
    <row r="806" spans="4:4" ht="12.75">
      <c r="D806" s="3"/>
    </row>
    <row r="807" spans="4:4" ht="12.75">
      <c r="D807" s="3"/>
    </row>
    <row r="808" spans="4:4" ht="12.75">
      <c r="D808" s="3"/>
    </row>
    <row r="809" spans="4:4" ht="12.75">
      <c r="D809" s="3"/>
    </row>
    <row r="810" spans="4:4" ht="12.75">
      <c r="D810" s="3"/>
    </row>
    <row r="811" spans="4:4" ht="12.75">
      <c r="D811" s="3"/>
    </row>
    <row r="812" spans="4:4" ht="12.75">
      <c r="D812" s="3"/>
    </row>
    <row r="813" spans="4:4" ht="12.75">
      <c r="D813" s="3"/>
    </row>
    <row r="814" spans="4:4" ht="12.75">
      <c r="D814" s="3"/>
    </row>
    <row r="815" spans="4:4" ht="12.75">
      <c r="D815" s="3"/>
    </row>
    <row r="816" spans="4:4" ht="12.75">
      <c r="D816" s="3"/>
    </row>
    <row r="817" spans="4:4" ht="12.75">
      <c r="D817" s="3"/>
    </row>
    <row r="818" spans="4:4" ht="12.75">
      <c r="D818" s="3"/>
    </row>
    <row r="819" spans="4:4" ht="12.75">
      <c r="D819" s="3"/>
    </row>
    <row r="820" spans="4:4" ht="12.75">
      <c r="D820" s="3"/>
    </row>
    <row r="821" spans="4:4" ht="12.75">
      <c r="D821" s="3"/>
    </row>
    <row r="822" spans="4:4" ht="12.75">
      <c r="D822" s="3"/>
    </row>
    <row r="823" spans="4:4" ht="12.75">
      <c r="D823" s="3"/>
    </row>
    <row r="824" spans="4:4" ht="12.75">
      <c r="D824" s="3"/>
    </row>
    <row r="825" spans="4:4" ht="12.75">
      <c r="D825" s="3"/>
    </row>
    <row r="826" spans="4:4" ht="12.75">
      <c r="D826" s="3"/>
    </row>
    <row r="827" spans="4:4" ht="12.75">
      <c r="D827" s="3"/>
    </row>
    <row r="828" spans="4:4" ht="12.75">
      <c r="D828" s="3"/>
    </row>
    <row r="829" spans="4:4" ht="12.75">
      <c r="D829" s="3"/>
    </row>
    <row r="830" spans="4:4" ht="12.75">
      <c r="D830" s="3"/>
    </row>
    <row r="831" spans="4:4" ht="12.75">
      <c r="D831" s="3"/>
    </row>
    <row r="832" spans="4:4" ht="12.75">
      <c r="D832" s="3"/>
    </row>
    <row r="833" spans="4:4" ht="12.75">
      <c r="D833" s="3"/>
    </row>
    <row r="834" spans="4:4" ht="12.75">
      <c r="D834" s="3"/>
    </row>
    <row r="835" spans="4:4" ht="12.75">
      <c r="D835" s="3"/>
    </row>
    <row r="836" spans="4:4" ht="12.75">
      <c r="D836" s="3"/>
    </row>
    <row r="837" spans="4:4" ht="12.75">
      <c r="D837" s="3"/>
    </row>
    <row r="838" spans="4:4" ht="12.75">
      <c r="D838" s="3"/>
    </row>
    <row r="839" spans="4:4" ht="12.75">
      <c r="D839" s="3"/>
    </row>
    <row r="840" spans="4:4" ht="12.75">
      <c r="D840" s="3"/>
    </row>
    <row r="841" spans="4:4" ht="12.75">
      <c r="D841" s="3"/>
    </row>
    <row r="842" spans="4:4" ht="12.75">
      <c r="D842" s="3"/>
    </row>
    <row r="843" spans="4:4" ht="12.75">
      <c r="D843" s="3"/>
    </row>
    <row r="844" spans="4:4" ht="12.75">
      <c r="D844" s="3"/>
    </row>
    <row r="845" spans="4:4" ht="12.75">
      <c r="D845" s="3"/>
    </row>
    <row r="846" spans="4:4" ht="12.75">
      <c r="D846" s="3"/>
    </row>
    <row r="847" spans="4:4" ht="12.75">
      <c r="D847" s="3"/>
    </row>
    <row r="848" spans="4:4" ht="12.75">
      <c r="D848" s="3"/>
    </row>
    <row r="849" spans="4:4" ht="12.75">
      <c r="D849" s="3"/>
    </row>
    <row r="850" spans="4:4" ht="12.75">
      <c r="D850" s="3"/>
    </row>
    <row r="851" spans="4:4" ht="12.75">
      <c r="D851" s="3"/>
    </row>
    <row r="852" spans="4:4" ht="12.75">
      <c r="D852" s="3"/>
    </row>
    <row r="853" spans="4:4" ht="12.75">
      <c r="D853" s="3"/>
    </row>
    <row r="854" spans="4:4" ht="12.75">
      <c r="D854" s="3"/>
    </row>
    <row r="855" spans="4:4" ht="12.75">
      <c r="D855" s="3"/>
    </row>
    <row r="856" spans="4:4" ht="12.75">
      <c r="D856" s="3"/>
    </row>
    <row r="857" spans="4:4" ht="12.75">
      <c r="D857" s="3"/>
    </row>
    <row r="858" spans="4:4" ht="12.75">
      <c r="D858" s="3"/>
    </row>
    <row r="859" spans="4:4" ht="12.75">
      <c r="D859" s="3"/>
    </row>
    <row r="860" spans="4:4" ht="12.75">
      <c r="D860" s="3"/>
    </row>
    <row r="861" spans="4:4" ht="12.75">
      <c r="D861" s="3"/>
    </row>
    <row r="862" spans="4:4" ht="12.75">
      <c r="D862" s="3"/>
    </row>
    <row r="863" spans="4:4" ht="12.75">
      <c r="D863" s="3"/>
    </row>
    <row r="864" spans="4:4" ht="12.75">
      <c r="D864" s="3"/>
    </row>
    <row r="865" spans="4:4" ht="12.75">
      <c r="D865" s="3"/>
    </row>
    <row r="866" spans="4:4" ht="12.75">
      <c r="D866" s="3"/>
    </row>
    <row r="867" spans="4:4" ht="12.75">
      <c r="D867" s="3"/>
    </row>
    <row r="868" spans="4:4" ht="12.75">
      <c r="D868" s="3"/>
    </row>
    <row r="869" spans="4:4" ht="12.75">
      <c r="D869" s="3"/>
    </row>
    <row r="870" spans="4:4" ht="12.75">
      <c r="D870" s="3"/>
    </row>
    <row r="871" spans="4:4" ht="12.75">
      <c r="D871" s="3"/>
    </row>
    <row r="872" spans="4:4" ht="12.75">
      <c r="D872" s="3"/>
    </row>
    <row r="873" spans="4:4" ht="12.75">
      <c r="D873" s="3"/>
    </row>
    <row r="874" spans="4:4" ht="12.75">
      <c r="D874" s="3"/>
    </row>
    <row r="875" spans="4:4" ht="12.75">
      <c r="D875" s="3"/>
    </row>
    <row r="876" spans="4:4" ht="12.75">
      <c r="D876" s="3"/>
    </row>
    <row r="877" spans="4:4" ht="12.75">
      <c r="D877" s="3"/>
    </row>
    <row r="878" spans="4:4" ht="12.75">
      <c r="D878" s="3"/>
    </row>
    <row r="879" spans="4:4" ht="12.75">
      <c r="D879" s="3"/>
    </row>
    <row r="880" spans="4:4" ht="12.75">
      <c r="D880" s="3"/>
    </row>
    <row r="881" spans="4:4" ht="12.75">
      <c r="D881" s="3"/>
    </row>
    <row r="882" spans="4:4" ht="12.75">
      <c r="D882" s="3"/>
    </row>
    <row r="883" spans="4:4" ht="12.75">
      <c r="D883" s="3"/>
    </row>
    <row r="884" spans="4:4" ht="12.75">
      <c r="D884" s="3"/>
    </row>
    <row r="885" spans="4:4" ht="12.75">
      <c r="D885" s="3"/>
    </row>
    <row r="886" spans="4:4" ht="12.75">
      <c r="D886" s="3"/>
    </row>
    <row r="887" spans="4:4" ht="12.75">
      <c r="D887" s="3"/>
    </row>
    <row r="888" spans="4:4" ht="12.75">
      <c r="D888" s="3"/>
    </row>
    <row r="889" spans="4:4" ht="12.75">
      <c r="D889" s="3"/>
    </row>
    <row r="890" spans="4:4" ht="12.75">
      <c r="D890" s="3"/>
    </row>
    <row r="891" spans="4:4" ht="12.75">
      <c r="D891" s="3"/>
    </row>
    <row r="892" spans="4:4" ht="12.75">
      <c r="D892" s="3"/>
    </row>
    <row r="893" spans="4:4" ht="12.75">
      <c r="D893" s="3"/>
    </row>
    <row r="894" spans="4:4" ht="12.75">
      <c r="D894" s="3"/>
    </row>
    <row r="895" spans="4:4" ht="12.75">
      <c r="D895" s="3"/>
    </row>
    <row r="896" spans="4:4" ht="12.75">
      <c r="D896" s="3"/>
    </row>
    <row r="897" spans="4:4" ht="12.75">
      <c r="D897" s="3"/>
    </row>
    <row r="898" spans="4:4" ht="12.75">
      <c r="D898" s="3"/>
    </row>
    <row r="899" spans="4:4" ht="12.75">
      <c r="D899" s="3"/>
    </row>
    <row r="900" spans="4:4" ht="12.75">
      <c r="D900" s="3"/>
    </row>
    <row r="901" spans="4:4" ht="12.75">
      <c r="D901" s="3"/>
    </row>
    <row r="902" spans="4:4" ht="12.75">
      <c r="D902" s="3"/>
    </row>
    <row r="903" spans="4:4" ht="12.75">
      <c r="D903" s="3"/>
    </row>
    <row r="904" spans="4:4" ht="12.75">
      <c r="D904" s="3"/>
    </row>
    <row r="905" spans="4:4" ht="12.75">
      <c r="D905" s="3"/>
    </row>
    <row r="906" spans="4:4" ht="12.75">
      <c r="D906" s="3"/>
    </row>
    <row r="907" spans="4:4" ht="12.75">
      <c r="D907" s="3"/>
    </row>
    <row r="908" spans="4:4" ht="12.75">
      <c r="D908" s="3"/>
    </row>
    <row r="909" spans="4:4" ht="12.75">
      <c r="D909" s="3"/>
    </row>
    <row r="910" spans="4:4" ht="12.75">
      <c r="D910" s="3"/>
    </row>
    <row r="911" spans="4:4" ht="12.75">
      <c r="D911" s="3"/>
    </row>
    <row r="912" spans="4:4" ht="12.75">
      <c r="D912" s="3"/>
    </row>
    <row r="913" spans="4:4" ht="12.75">
      <c r="D913" s="3"/>
    </row>
    <row r="914" spans="4:4" ht="12.75">
      <c r="D914" s="3"/>
    </row>
    <row r="915" spans="4:4" ht="12.75">
      <c r="D915" s="3"/>
    </row>
    <row r="916" spans="4:4" ht="12.75">
      <c r="D916" s="3"/>
    </row>
    <row r="917" spans="4:4" ht="12.75">
      <c r="D917" s="3"/>
    </row>
    <row r="918" spans="4:4" ht="12.75">
      <c r="D918" s="3"/>
    </row>
    <row r="919" spans="4:4" ht="12.75">
      <c r="D919" s="3"/>
    </row>
    <row r="920" spans="4:4" ht="12.75">
      <c r="D920" s="3"/>
    </row>
    <row r="921" spans="4:4" ht="12.75">
      <c r="D921" s="3"/>
    </row>
    <row r="922" spans="4:4" ht="12.75">
      <c r="D922" s="3"/>
    </row>
    <row r="923" spans="4:4" ht="12.75">
      <c r="D923" s="3"/>
    </row>
    <row r="924" spans="4:4" ht="12.75">
      <c r="D924" s="3"/>
    </row>
    <row r="925" spans="4:4" ht="12.75">
      <c r="D925" s="3"/>
    </row>
    <row r="926" spans="4:4" ht="12.75">
      <c r="D926" s="3"/>
    </row>
    <row r="927" spans="4:4" ht="12.75">
      <c r="D927" s="3"/>
    </row>
    <row r="928" spans="4:4" ht="12.75">
      <c r="D928" s="3"/>
    </row>
    <row r="929" spans="4:4" ht="12.75">
      <c r="D929" s="3"/>
    </row>
    <row r="930" spans="4:4" ht="12.75">
      <c r="D930" s="3"/>
    </row>
    <row r="931" spans="4:4" ht="12.75">
      <c r="D931" s="3"/>
    </row>
    <row r="932" spans="4:4" ht="12.75">
      <c r="D932" s="3"/>
    </row>
    <row r="933" spans="4:4" ht="12.75">
      <c r="D933" s="3"/>
    </row>
    <row r="934" spans="4:4" ht="12.75">
      <c r="D934" s="3"/>
    </row>
    <row r="935" spans="4:4" ht="12.75">
      <c r="D935" s="3"/>
    </row>
    <row r="936" spans="4:4" ht="12.75">
      <c r="D936" s="3"/>
    </row>
    <row r="937" spans="4:4" ht="12.75">
      <c r="D937" s="3"/>
    </row>
    <row r="938" spans="4:4" ht="12.75">
      <c r="D938" s="3"/>
    </row>
    <row r="939" spans="4:4" ht="12.75">
      <c r="D939" s="3"/>
    </row>
    <row r="940" spans="4:4" ht="12.75">
      <c r="D940" s="3"/>
    </row>
    <row r="941" spans="4:4" ht="12.75">
      <c r="D941" s="3"/>
    </row>
    <row r="942" spans="4:4" ht="12.75">
      <c r="D942" s="3"/>
    </row>
    <row r="943" spans="4:4" ht="12.75">
      <c r="D943" s="3"/>
    </row>
    <row r="944" spans="4:4" ht="12.75">
      <c r="D944" s="3"/>
    </row>
    <row r="945" spans="4:4" ht="12.75">
      <c r="D945" s="3"/>
    </row>
    <row r="946" spans="4:4" ht="12.75">
      <c r="D946" s="3"/>
    </row>
    <row r="947" spans="4:4" ht="12.75">
      <c r="D947" s="3"/>
    </row>
    <row r="948" spans="4:4" ht="12.75">
      <c r="D948" s="3"/>
    </row>
    <row r="949" spans="4:4" ht="12.75">
      <c r="D949" s="3"/>
    </row>
    <row r="950" spans="4:4" ht="12.75">
      <c r="D950" s="3"/>
    </row>
    <row r="951" spans="4:4" ht="12.75">
      <c r="D951" s="3"/>
    </row>
    <row r="952" spans="4:4" ht="12.75">
      <c r="D952" s="3"/>
    </row>
    <row r="953" spans="4:4" ht="12.75">
      <c r="D953" s="3"/>
    </row>
    <row r="954" spans="4:4" ht="12.75">
      <c r="D954" s="3"/>
    </row>
    <row r="955" spans="4:4" ht="12.75">
      <c r="D955" s="3"/>
    </row>
    <row r="956" spans="4:4" ht="12.75">
      <c r="D956" s="3"/>
    </row>
    <row r="957" spans="4:4" ht="12.75">
      <c r="D957" s="3"/>
    </row>
    <row r="958" spans="4:4" ht="12.75">
      <c r="D958" s="3"/>
    </row>
    <row r="959" spans="4:4" ht="12.75">
      <c r="D959" s="3"/>
    </row>
    <row r="960" spans="4:4" ht="12.75">
      <c r="D960" s="3"/>
    </row>
    <row r="961" spans="4:4" ht="12.75">
      <c r="D961" s="3"/>
    </row>
    <row r="962" spans="4:4" ht="12.75">
      <c r="D962" s="3"/>
    </row>
    <row r="963" spans="4:4" ht="12.75">
      <c r="D963" s="3"/>
    </row>
    <row r="964" spans="4:4" ht="12.75">
      <c r="D964" s="3"/>
    </row>
    <row r="965" spans="4:4" ht="12.75">
      <c r="D965" s="3"/>
    </row>
    <row r="966" spans="4:4" ht="12.75">
      <c r="D966" s="3"/>
    </row>
    <row r="967" spans="4:4" ht="12.75">
      <c r="D967" s="3"/>
    </row>
    <row r="968" spans="4:4" ht="12.75">
      <c r="D968" s="3"/>
    </row>
    <row r="969" spans="4:4" ht="12.75">
      <c r="D969" s="3"/>
    </row>
    <row r="970" spans="4:4" ht="12.75">
      <c r="D970" s="3"/>
    </row>
    <row r="971" spans="4:4" ht="12.75">
      <c r="D971" s="3"/>
    </row>
    <row r="972" spans="4:4" ht="12.75">
      <c r="D972" s="3"/>
    </row>
    <row r="973" spans="4:4" ht="12.75">
      <c r="D973" s="3"/>
    </row>
    <row r="974" spans="4:4" ht="12.75">
      <c r="D974" s="3"/>
    </row>
    <row r="975" spans="4:4" ht="12.75">
      <c r="D975" s="3"/>
    </row>
    <row r="976" spans="4:4" ht="12.75">
      <c r="D976" s="3"/>
    </row>
    <row r="977" spans="4:4" ht="12.75">
      <c r="D977" s="3"/>
    </row>
    <row r="978" spans="4:4" ht="12.75">
      <c r="D978" s="3"/>
    </row>
    <row r="979" spans="4:4" ht="12.75">
      <c r="D979" s="3"/>
    </row>
    <row r="980" spans="4:4" ht="12.75">
      <c r="D980" s="3"/>
    </row>
    <row r="981" spans="4:4" ht="12.75">
      <c r="D981" s="3"/>
    </row>
    <row r="982" spans="4:4" ht="12.75">
      <c r="D982" s="3"/>
    </row>
    <row r="983" spans="4:4" ht="12.75">
      <c r="D983" s="3"/>
    </row>
    <row r="984" spans="4:4" ht="12.75">
      <c r="D984" s="3"/>
    </row>
    <row r="985" spans="4:4" ht="12.75">
      <c r="D985" s="3"/>
    </row>
    <row r="986" spans="4:4" ht="12.75">
      <c r="D986" s="3"/>
    </row>
    <row r="987" spans="4:4" ht="12.75">
      <c r="D987" s="3"/>
    </row>
    <row r="988" spans="4:4" ht="12.75">
      <c r="D988" s="3"/>
    </row>
    <row r="989" spans="4:4" ht="12.75">
      <c r="D989" s="3"/>
    </row>
    <row r="990" spans="4:4" ht="12.75">
      <c r="D990" s="3"/>
    </row>
    <row r="991" spans="4:4" ht="12.75">
      <c r="D991" s="3"/>
    </row>
    <row r="992" spans="4:4" ht="12.75">
      <c r="D992" s="3"/>
    </row>
    <row r="993" ht="12.75"/>
    <row r="994" ht="12.75"/>
    <row r="995" ht="12.75"/>
    <row r="996" ht="12.75"/>
    <row r="997" ht="12.75"/>
    <row r="998" ht="12.75"/>
    <row r="999" ht="12.75"/>
    <row r="1000" ht="12.75"/>
  </sheetData>
  <hyperlinks>
    <hyperlink ref="E2" r:id="rId1" display="https://scholar.google.com/citations?hl=en&amp;vq=eng_databasesinformationsystems&amp;view_op=list_hcore&amp;venue=HgMIeQ05CyMJ.2018"/>
    <hyperlink ref="E3" r:id="rId2" display="https://scholar.google.com/citations?hl=en&amp;vq=eng_databasesinformationsystems&amp;view_op=list_hcore&amp;venue=u1CjH9_75_cJ.2018"/>
    <hyperlink ref="E4" r:id="rId3" display="https://scholar.google.com/citations?hl=en&amp;view_op=list_hcore&amp;venue=rDUVyYLeRdUJ.2019"/>
    <hyperlink ref="E5" r:id="rId4" display="https://scholar.google.com/citations?hl=en&amp;view_op=list_hcore&amp;venue=HdCtgB7kxZAJ.2018"/>
    <hyperlink ref="E6" r:id="rId5" display="https://scholar.google.com/citations?hl=en&amp;view_op=list_hcore&amp;venue=WuE3NzMRZNAJ.2018"/>
    <hyperlink ref="E7" r:id="rId6" display="https://scholar.google.com/citations?hl=en&amp;view_op=list_hcore&amp;venue=V-IMg2OTpU8J.2018"/>
    <hyperlink ref="E8" r:id="rId7" display="https://scholar.google.com/citations?hl=en&amp;view_op=list_hcore&amp;venue=wB6WaEpFlvgJ.2018"/>
    <hyperlink ref="E9" r:id="rId8" display="https://scholar.google.com/citations?hl=en&amp;view_op=list_hcore&amp;venue=ixetonJUY2YJ.2018"/>
    <hyperlink ref="E10" r:id="rId9" display="https://scholar.google.es/citations?hl=en&amp;vq=eng_datamininganalysis&amp;view_op=list_hcore&amp;venue=DxPOk84pRIIJ.2018"/>
    <hyperlink ref="E11" r:id="rId10" display="https://scholar.google.com/citations?hl=en&amp;view_op=list_hcore&amp;venue=5zblDmoFLZAJ.2018"/>
    <hyperlink ref="E12" r:id="rId11" display="https://scholar.google.com/citations?hl=en&amp;view_op=list_hcore&amp;venue=BGvdky_UalUJ.2018"/>
    <hyperlink ref="E13" r:id="rId12" display="https://scholar.google.com/citations?hl=en&amp;view_op=list_hcore&amp;venue=yD4mA_VATukJ.2018"/>
    <hyperlink ref="E14" r:id="rId13" display="https://scholar.google.com/citations?hl=en&amp;vq=eng_databasesinformationsystems&amp;view_op=list_hcore&amp;venue=yChjqNpzfk0J.2018"/>
    <hyperlink ref="E15" r:id="rId14" display="https://scholar.google.com/citations?hl=en&amp;view_op=list_hcore&amp;venue=ykfjskFukgEJ.2018"/>
    <hyperlink ref="E16" r:id="rId15" display="https://scholar.google.com/citations?hl=en&amp;view_op=list_hcore&amp;venue=2M02lZ1WL6IJ.2018"/>
    <hyperlink ref="E17" r:id="rId16" display="https://scholar.google.com/citations?hl=en&amp;view_op=list_hcore&amp;venue=pEYfHFCSslcJ.2018"/>
    <hyperlink ref="E19" r:id="rId17" display="https://scholar.google.com/citations?hl=en&amp;view_op=list_hcore&amp;venue=w_KC2fvJJQEJ.2018"/>
    <hyperlink ref="E20" r:id="rId18" display="https://scholar.google.com/citations?hl=en&amp;view_op=list_hcore&amp;venue=sGmafh2RqU8J.2018"/>
    <hyperlink ref="E21" r:id="rId19" display="https://scholar.google.com/citations?hl=en&amp;view_op=list_hcore&amp;venue=ibKkJ-6gcSEJ.2018"/>
    <hyperlink ref="E22" r:id="rId20" display="https://scholar.google.com/citations?hl=en&amp;view_op=list_hcore&amp;venue=AETH84_wOIQJ.2018"/>
    <hyperlink ref="E23" r:id="rId21" display="https://scholar.google.com/citations?hl=en&amp;view_op=list_hcore&amp;venue=_IeLSKDu4j0J.2018"/>
    <hyperlink ref="E24" r:id="rId22" display="https://scholar.google.com/citations?hl=en&amp;view_op=list_hcore&amp;venue=o8w3q5IHx5MJ.2018"/>
    <hyperlink ref="E25" r:id="rId23" display="https://scholar.google.com/citations?hl=en&amp;view_op=list_hcore&amp;venue=gCzn4TRHFGQJ.2018"/>
    <hyperlink ref="E26" r:id="rId24" display="https://scholar.google.com/citations?hl=en&amp;view_op=list_hcore&amp;venue=eLhWa3qzEDsJ.2018"/>
    <hyperlink ref="E27" r:id="rId25" display="https://scholar.google.com/citations?hl=en&amp;view_op=list_hcore&amp;venue=ioohKoS5imcJ.2018"/>
    <hyperlink ref="E28" r:id="rId26" display="https://scholar.google.com/citations?hl=en&amp;view_op=list_hcore&amp;venue=aNZ314HiR4YJ.2018"/>
    <hyperlink ref="E29" r:id="rId27" display="https://scholar.google.com/citations?hl=en&amp;view_op=list_hcore&amp;venue=6RxgACAtCdcJ.2018"/>
    <hyperlink ref="E30" r:id="rId28" display="https://scholar.google.com/citations?hl=en&amp;view_op=list_hcore&amp;venue=zsGWp1QJr3AJ.2018"/>
    <hyperlink ref="E31" r:id="rId29" display="https://scholar.google.com/citations?hl=en&amp;view_op=list_hcore&amp;venue=hltkuBaF_uEJ.2018"/>
    <hyperlink ref="E33" r:id="rId30" display="https://scholar.google.com/citations?hl=en&amp;view_op=list_hcore&amp;venue=XdShTT6W3h0J.2018"/>
    <hyperlink ref="E34" r:id="rId31" display="https://scholar.google.com/citations?hl=en&amp;view_op=list_hcore&amp;venue=cFvi1RZjX1gJ.2018"/>
    <hyperlink ref="E35" r:id="rId32" display="https://scholar.google.com/citations?hl=en&amp;view_op=list_hcore&amp;venue=eM05sD1nEv4J.2018"/>
    <hyperlink ref="E36" r:id="rId33" display="https://scholar.google.com/citations?hl=en&amp;view_op=list_hcore&amp;venue=A0l3VPFKwDYJ.2018"/>
    <hyperlink ref="E37" r:id="rId34" display="https://scholar.google.com/citations?hl=en&amp;view_op=list_hcore&amp;venue=np9OvZCkWLIJ.2018"/>
    <hyperlink ref="E38" r:id="rId35" display="https://scholar.google.com/citations?hl=en&amp;view_op=list_hcore&amp;venue=eH4qSzdbVtwJ.2018"/>
    <hyperlink ref="E39" r:id="rId36" display="https://scholar.google.com/citations?hl=en&amp;view_op=list_hcore&amp;venue=Gf4FWVmkfbwJ.2018"/>
    <hyperlink ref="E40" r:id="rId37" display="https://scholar.google.com/citations?hl=en&amp;view_op=list_hcore&amp;venue=4-w_STT7RmEJ.2018"/>
    <hyperlink ref="E41" r:id="rId38" display="https://scholar.google.com/citations?hl=en&amp;view_op=list_hcore&amp;venue=mf0MeYwvqwoJ.2018"/>
    <hyperlink ref="E42" r:id="rId39" display="https://scholar.google.com/citations?hl=en&amp;view_op=list_hcore&amp;venue=02SGYBvIz80J.2018"/>
    <hyperlink ref="E43" r:id="rId40" display="https://scholar.google.com/citations?hl=en&amp;view_op=list_hcore&amp;venue=dF8xpB0_PnwJ.2018"/>
    <hyperlink ref="E44" r:id="rId41" display="https://scholar.google.com/citations?hl=en&amp;view_op=list_hcore&amp;venue=B_DfwWWmEnMJ.2018"/>
    <hyperlink ref="E45" r:id="rId42" display="https://scholar.google.com/citations?hl=en&amp;view_op=list_hcore&amp;venue=6AbX1YWluE4J.2018"/>
    <hyperlink ref="E46" r:id="rId43" display="https://scholar.google.com/citations?hl=en&amp;view_op=list_hcore&amp;venue=I9UJ598p80sJ.2018"/>
    <hyperlink ref="E47" r:id="rId44" display="https://scholar.google.com/citations?hl=en&amp;view_op=list_hcore&amp;venue=5qcbaE0D5owJ.2018"/>
    <hyperlink ref="E48" r:id="rId45" display="https://scholar.google.com/citations?hl=en&amp;view_op=list_hcore&amp;venue=SD0zxFP7qD4J.2018"/>
    <hyperlink ref="E49" r:id="rId46" display="https://scholar.google.com/citations?hl=en&amp;view_op=list_hcore&amp;venue=hX0wD_ieYvEJ.2018"/>
    <hyperlink ref="E50" r:id="rId47" display="https://scholar.google.com/citations?hl=en&amp;view_op=list_hcore&amp;venue=ZQqJjlSjnxAJ.2018"/>
    <hyperlink ref="E52" r:id="rId48" display="https://scholar.google.com/citations?hl=en&amp;view_op=list_hcore&amp;venue=fBneWRb_-8wJ.2018"/>
    <hyperlink ref="E53" r:id="rId49" display="https://scholar.google.com/citations?hl=en&amp;view_op=list_hcore&amp;venue=3zneIArE2G0J.2018"/>
    <hyperlink ref="E56" r:id="rId50" display="https://scholar.google.com/citations?hl=en&amp;view_op=list_hcore&amp;venue=nypTAZp7Yo8J.2018"/>
    <hyperlink ref="E57" r:id="rId51" display="https://scholar.google.com/citations?hl=en&amp;view_op=list_hcore&amp;venue=o8w3q5IHx5MJ.2018"/>
    <hyperlink ref="E58" r:id="rId52" display="https://scholar.google.com/citations?hl=en&amp;view_op=list_hcore&amp;venue=hL4tvEz50McJ.2018"/>
    <hyperlink ref="E59" r:id="rId53" display="https://scholar.google.com/citations?hl=en&amp;view_op=list_hcore&amp;venue=HQxJsAeEXPkJ.2018"/>
    <hyperlink ref="E60" r:id="rId54" display="https://scholar.google.com/citations?hl=en&amp;view_op=list_hcore&amp;venue=5PSS5xHm_KwJ.2018"/>
    <hyperlink ref="E62" r:id="rId55" display="https://scholar.google.com/citations?hl=en&amp;view_op=list_hcore&amp;venue=02SGYBvIz80J.2018"/>
    <hyperlink ref="E63" r:id="rId56" display="https://scholar.google.com/citations?hl=en&amp;view_op=list_hcore&amp;venue=Tq_VLYZkpzwJ.2018"/>
    <hyperlink ref="E65" r:id="rId57" display="https://scholar.google.com/citations?hl=en&amp;view_op=list_hcore&amp;venue=K9DmX5xQU-YJ.2018"/>
    <hyperlink ref="E67" r:id="rId58" display="https://scholar.google.com/citations?hl=en&amp;view_op=list_hcore&amp;venue=o1durVJyeP4J.2019"/>
    <hyperlink ref="E69" r:id="rId59" display="https://scholar.google.com/citations?hl=en&amp;view_op=list_hcore&amp;venue=mK5NIOh7kkEJ.2018"/>
    <hyperlink ref="E71" r:id="rId60" display="https://scholar.google.com/citations?hl=en&amp;view_op=list_hcore&amp;venue=BQO9C9sz1x8J.2018"/>
    <hyperlink ref="E72" r:id="rId61" display="https://scholar.google.com/citations?hl=en&amp;view_op=list_hcore&amp;venue=F_tKvHBbkU8J.2018"/>
    <hyperlink ref="E73" r:id="rId62" display="https://scholar.google.com/citations?hl=en&amp;view_op=list_hcore&amp;venue=HEK4XeIA_fYJ.2018"/>
    <hyperlink ref="E74" r:id="rId63" display="https://scholar.google.com/citations?hl=en&amp;view_op=list_hcore&amp;venue=XdShTT6W3h0J.2018"/>
    <hyperlink ref="E75" r:id="rId64" display="https://scholar.google.com/citations?hl=en&amp;view_op=list_hcore&amp;venue=UDGD1AtMr3UJ.2018"/>
    <hyperlink ref="E77" r:id="rId65" display="https://scholar.google.com/citations?hl=en&amp;view_op=list_hcore&amp;venue=5XVjTHqnK0AJ.2018"/>
    <hyperlink ref="E78" r:id="rId66" display="https://scholar.google.com/citations?hl=en&amp;view_op=list_hcore&amp;venue=109OuuD55eYJ.2018"/>
    <hyperlink ref="E79" r:id="rId67" display="https://scholar.google.com/citations?hl=en&amp;view_op=list_hcore&amp;venue=0oQi0-PzQ8sJ.2018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7"/>
  <sheetViews>
    <sheetView showGridLines="0" workbookViewId="0">
      <selection activeCell="C34" sqref="C34"/>
    </sheetView>
  </sheetViews>
  <sheetFormatPr defaultColWidth="12.5703125" defaultRowHeight="15.75" customHeight="1"/>
  <cols>
    <col min="1" max="1" width="16.140625" style="5" customWidth="1"/>
    <col min="2" max="2" width="10.7109375" customWidth="1"/>
    <col min="3" max="3" width="93" bestFit="1" customWidth="1"/>
    <col min="4" max="4" width="3.5703125" customWidth="1"/>
    <col min="5" max="5" width="130.28515625" style="1" bestFit="1" customWidth="1"/>
  </cols>
  <sheetData>
    <row r="1" spans="1:5" ht="25.5" customHeight="1">
      <c r="A1" s="71" t="str">
        <f ca="1">IFERROR(__xludf.DUMMYFUNCTION("importrange(""https://docs.google.com/spreadsheets/d/1_M3fLRqwIIxFA2y41HrsZB4EhXI0XPG8MwPgpbtIpZU/edit#gid=1214547820"",""CE-BD!A1:J150"")"),"TOP")</f>
        <v>TOP</v>
      </c>
      <c r="B1" s="105" t="str">
        <f ca="1">IFERROR(__xludf.DUMMYFUNCTION("""COMPUTED_VALUE"""),"SIGLA")</f>
        <v>SIGLA</v>
      </c>
      <c r="C1" s="105" t="str">
        <f ca="1">IFERROR(__xludf.DUMMYFUNCTION("""COMPUTED_VALUE"""),"NOME")</f>
        <v>NOME</v>
      </c>
      <c r="D1" s="105" t="str">
        <f ca="1">IFERROR(__xludf.DUMMYFUNCTION("""COMPUTED_VALUE"""),"H5")</f>
        <v>H5</v>
      </c>
      <c r="E1" s="71" t="str">
        <f ca="1">IFERROR(__xludf.DUMMYFUNCTION("""COMPUTED_VALUE"""),"GOOGLE METRICS LINK")</f>
        <v>GOOGLE METRICS LINK</v>
      </c>
    </row>
    <row r="2" spans="1:5" ht="25.5" customHeight="1">
      <c r="A2" s="67" t="str">
        <f ca="1">IFERROR(__xludf.DUMMYFUNCTION("""COMPUTED_VALUE"""),"Top 10")</f>
        <v>Top 10</v>
      </c>
      <c r="B2" s="46" t="str">
        <f ca="1">IFERROR(__xludf.DUMMYFUNCTION("""COMPUTED_VALUE"""),"LICS")</f>
        <v>LICS</v>
      </c>
      <c r="C2" s="46" t="str">
        <f ca="1">IFERROR(__xludf.DUMMYFUNCTION("""COMPUTED_VALUE"""),"ACM/IEEE Symposium on Logic in Computer Science")</f>
        <v>ACM/IEEE Symposium on Logic in Computer Science</v>
      </c>
      <c r="D2" s="46">
        <f ca="1">IFERROR(__xludf.DUMMYFUNCTION("""COMPUTED_VALUE"""),31)</f>
        <v>31</v>
      </c>
      <c r="E2" s="60" t="str">
        <f ca="1">IFERROR(__xludf.DUMMYFUNCTION("""COMPUTED_VALUE"""),"https://scholar.google.com.br/citations?hl=en&amp;vq=eng_theoreticalcomputerscience&amp;view_op=list_hcore&amp;venue=5mWbSIB9be8J.2020")</f>
        <v>https://scholar.google.com.br/citations?hl=en&amp;vq=eng_theoreticalcomputerscience&amp;view_op=list_hcore&amp;venue=5mWbSIB9be8J.2020</v>
      </c>
    </row>
    <row r="3" spans="1:5" ht="25.5" customHeight="1">
      <c r="A3" s="67" t="str">
        <f ca="1">IFERROR(__xludf.DUMMYFUNCTION("""COMPUTED_VALUE"""),"Top 10")</f>
        <v>Top 10</v>
      </c>
      <c r="B3" s="46" t="str">
        <f ca="1">IFERROR(__xludf.DUMMYFUNCTION("""COMPUTED_VALUE"""),"CSL")</f>
        <v>CSL</v>
      </c>
      <c r="C3" s="46" t="str">
        <f ca="1">IFERROR(__xludf.DUMMYFUNCTION("""COMPUTED_VALUE"""),"Computer Science Logic")</f>
        <v>Computer Science Logic</v>
      </c>
      <c r="D3" s="46">
        <f ca="1">IFERROR(__xludf.DUMMYFUNCTION("""COMPUTED_VALUE"""),16)</f>
        <v>16</v>
      </c>
      <c r="E3" s="60" t="str">
        <f ca="1">IFERROR(__xludf.DUMMYFUNCTION("""COMPUTED_VALUE"""),"https://scholar.google.com.br/citations?hl=en&amp;view_op=list_hcore&amp;venue=xfuNJ8sxOdEJ.2020")</f>
        <v>https://scholar.google.com.br/citations?hl=en&amp;view_op=list_hcore&amp;venue=xfuNJ8sxOdEJ.2020</v>
      </c>
    </row>
    <row r="4" spans="1:5" ht="25.5" customHeight="1">
      <c r="A4" s="67" t="str">
        <f ca="1">IFERROR(__xludf.DUMMYFUNCTION("""COMPUTED_VALUE"""),"Top 10")</f>
        <v>Top 10</v>
      </c>
      <c r="B4" s="46" t="str">
        <f ca="1">IFERROR(__xludf.DUMMYFUNCTION("""COMPUTED_VALUE"""),"LSFA")</f>
        <v>LSFA</v>
      </c>
      <c r="C4" s="46" t="str">
        <f ca="1">IFERROR(__xludf.DUMMYFUNCTION("""COMPUTED_VALUE"""),"International Workshop on Logical and Semantic Frameworks, with Applications")</f>
        <v>International Workshop on Logical and Semantic Frameworks, with Applications</v>
      </c>
      <c r="D4" s="46"/>
      <c r="E4" s="60"/>
    </row>
    <row r="5" spans="1:5" ht="25.5" customHeight="1">
      <c r="A5" s="67" t="str">
        <f ca="1">IFERROR(__xludf.DUMMYFUNCTION("""COMPUTED_VALUE"""),"Top 10")</f>
        <v>Top 10</v>
      </c>
      <c r="B5" s="46" t="str">
        <f ca="1">IFERROR(__xludf.DUMMYFUNCTION("""COMPUTED_VALUE"""),"FoSSaCS")</f>
        <v>FoSSaCS</v>
      </c>
      <c r="C5" s="46" t="str">
        <f ca="1">IFERROR(__xludf.DUMMYFUNCTION("""COMPUTED_VALUE"""),"International Conference on Foundations of Software Science and Computation Structures")</f>
        <v>International Conference on Foundations of Software Science and Computation Structures</v>
      </c>
      <c r="D5" s="46">
        <f ca="1">IFERROR(__xludf.DUMMYFUNCTION("""COMPUTED_VALUE"""),20)</f>
        <v>20</v>
      </c>
      <c r="E5" s="60" t="str">
        <f ca="1">IFERROR(__xludf.DUMMYFUNCTION("""COMPUTED_VALUE"""),"https://scholar.google.com.br/citations?hl=en&amp;view_op=list_hcore&amp;venue=q-MXMv7GdwAJ.2020")</f>
        <v>https://scholar.google.com.br/citations?hl=en&amp;view_op=list_hcore&amp;venue=q-MXMv7GdwAJ.2020</v>
      </c>
    </row>
    <row r="6" spans="1:5" ht="25.5" customHeight="1">
      <c r="A6" s="67" t="str">
        <f ca="1">IFERROR(__xludf.DUMMYFUNCTION("""COMPUTED_VALUE"""),"Top 10")</f>
        <v>Top 10</v>
      </c>
      <c r="B6" s="46" t="str">
        <f ca="1">IFERROR(__xludf.DUMMYFUNCTION("""COMPUTED_VALUE"""),"TABLEAUX")</f>
        <v>TABLEAUX</v>
      </c>
      <c r="C6" s="46" t="str">
        <f ca="1">IFERROR(__xludf.DUMMYFUNCTION("""COMPUTED_VALUE"""),"International Conference on Automated Reasoning with Analytic Tableaux and Related Methods")</f>
        <v>International Conference on Automated Reasoning with Analytic Tableaux and Related Methods</v>
      </c>
      <c r="D6" s="46"/>
      <c r="E6" s="60"/>
    </row>
    <row r="7" spans="1:5" ht="25.5" customHeight="1">
      <c r="A7" s="67" t="str">
        <f ca="1">IFERROR(__xludf.DUMMYFUNCTION("""COMPUTED_VALUE"""),"Top 10")</f>
        <v>Top 10</v>
      </c>
      <c r="B7" s="46" t="str">
        <f ca="1">IFERROR(__xludf.DUMMYFUNCTION("""COMPUTED_VALUE"""),"FSCD")</f>
        <v>FSCD</v>
      </c>
      <c r="C7" s="46" t="str">
        <f ca="1">IFERROR(__xludf.DUMMYFUNCTION("""COMPUTED_VALUE"""),"International Conference on Formal Structures for Computation and Deduction")</f>
        <v>International Conference on Formal Structures for Computation and Deduction</v>
      </c>
      <c r="D7" s="46">
        <f ca="1">IFERROR(__xludf.DUMMYFUNCTION("""COMPUTED_VALUE"""),14)</f>
        <v>14</v>
      </c>
      <c r="E7" s="60" t="str">
        <f ca="1">IFERROR(__xludf.DUMMYFUNCTION("""COMPUTED_VALUE"""),"https://scholar.google.com.br/citations?hl=en&amp;view_op=list_hcore&amp;venue=PPMBzcum8FkJ.2020")</f>
        <v>https://scholar.google.com.br/citations?hl=en&amp;view_op=list_hcore&amp;venue=PPMBzcum8FkJ.2020</v>
      </c>
    </row>
    <row r="8" spans="1:5" ht="25.5" customHeight="1">
      <c r="A8" s="67" t="str">
        <f ca="1">IFERROR(__xludf.DUMMYFUNCTION("""COMPUTED_VALUE"""),"Top 10")</f>
        <v>Top 10</v>
      </c>
      <c r="B8" s="46" t="str">
        <f ca="1">IFERROR(__xludf.DUMMYFUNCTION("""COMPUTED_VALUE"""),"WoLLIC")</f>
        <v>WoLLIC</v>
      </c>
      <c r="C8" s="46" t="str">
        <f ca="1">IFERROR(__xludf.DUMMYFUNCTION("""COMPUTED_VALUE"""),"Workshop on Logic, Language, Information and Computation")</f>
        <v>Workshop on Logic, Language, Information and Computation</v>
      </c>
      <c r="D8" s="46">
        <f ca="1">IFERROR(__xludf.DUMMYFUNCTION("""COMPUTED_VALUE"""),11)</f>
        <v>11</v>
      </c>
      <c r="E8" s="60" t="str">
        <f ca="1">IFERROR(__xludf.DUMMYFUNCTION("""COMPUTED_VALUE"""),"https://scholar.google.com.br/citations?hl=en&amp;view_op=list_hcore&amp;venue=-_yucm7AqqAJ.2020")</f>
        <v>https://scholar.google.com.br/citations?hl=en&amp;view_op=list_hcore&amp;venue=-_yucm7AqqAJ.2020</v>
      </c>
    </row>
    <row r="9" spans="1:5" ht="25.5" customHeight="1">
      <c r="A9" s="67" t="str">
        <f ca="1">IFERROR(__xludf.DUMMYFUNCTION("""COMPUTED_VALUE"""),"Top 10")</f>
        <v>Top 10</v>
      </c>
      <c r="B9" s="46" t="str">
        <f ca="1">IFERROR(__xludf.DUMMYFUNCTION("""COMPUTED_VALUE"""),"ICLP")</f>
        <v>ICLP</v>
      </c>
      <c r="C9" s="46" t="str">
        <f ca="1">IFERROR(__xludf.DUMMYFUNCTION("""COMPUTED_VALUE"""),"International Conference on Logic Programming")</f>
        <v>International Conference on Logic Programming</v>
      </c>
      <c r="D9" s="46"/>
      <c r="E9" s="60"/>
    </row>
    <row r="10" spans="1:5" ht="25.5" customHeight="1">
      <c r="A10" s="67" t="str">
        <f ca="1">IFERROR(__xludf.DUMMYFUNCTION("""COMPUTED_VALUE"""),"Top 10")</f>
        <v>Top 10</v>
      </c>
      <c r="B10" s="46" t="str">
        <f ca="1">IFERROR(__xludf.DUMMYFUNCTION("""COMPUTED_VALUE"""),"SOFSEM")</f>
        <v>SOFSEM</v>
      </c>
      <c r="C10" s="46" t="str">
        <f ca="1">IFERROR(__xludf.DUMMYFUNCTION("""COMPUTED_VALUE"""),"International Conference on Current Trends in Theory and Practice of Computer Science")</f>
        <v>International Conference on Current Trends in Theory and Practice of Computer Science</v>
      </c>
      <c r="D10" s="46"/>
      <c r="E10" s="60"/>
    </row>
    <row r="11" spans="1:5" ht="25.5" customHeight="1">
      <c r="A11" s="67" t="str">
        <f ca="1">IFERROR(__xludf.DUMMYFUNCTION("""COMPUTED_VALUE"""),"Top 10")</f>
        <v>Top 10</v>
      </c>
      <c r="B11" s="46" t="str">
        <f ca="1">IFERROR(__xludf.DUMMYFUNCTION("""COMPUTED_VALUE"""),"ICTAC")</f>
        <v>ICTAC</v>
      </c>
      <c r="C11" s="46" t="str">
        <f ca="1">IFERROR(__xludf.DUMMYFUNCTION("""COMPUTED_VALUE"""),"International Colloquium on Theoretical Aspects of Computing")</f>
        <v>International Colloquium on Theoretical Aspects of Computing</v>
      </c>
      <c r="D11" s="46">
        <f ca="1">IFERROR(__xludf.DUMMYFUNCTION("""COMPUTED_VALUE"""),14)</f>
        <v>14</v>
      </c>
      <c r="E11" s="60" t="str">
        <f ca="1">IFERROR(__xludf.DUMMYFUNCTION("""COMPUTED_VALUE"""),"https://scholar.google.com.br/citations?hl=en&amp;view_op=list_hcore&amp;venue=foujqxJmEBEJ.2020")</f>
        <v>https://scholar.google.com.br/citations?hl=en&amp;view_op=list_hcore&amp;venue=foujqxJmEBEJ.2020</v>
      </c>
    </row>
    <row r="12" spans="1:5" ht="25.5" customHeight="1">
      <c r="A12" s="70" t="str">
        <f ca="1">IFERROR(__xludf.DUMMYFUNCTION("""COMPUTED_VALUE"""),"Top 20")</f>
        <v>Top 20</v>
      </c>
      <c r="B12" s="46" t="str">
        <f ca="1">IFERROR(__xludf.DUMMYFUNCTION("""COMPUTED_VALUE"""),"LMCS")</f>
        <v>LMCS</v>
      </c>
      <c r="C12" s="46" t="str">
        <f ca="1">IFERROR(__xludf.DUMMYFUNCTION("""COMPUTED_VALUE"""),"Logical Methods in Computer Science")</f>
        <v>Logical Methods in Computer Science</v>
      </c>
      <c r="D12" s="46">
        <f ca="1">IFERROR(__xludf.DUMMYFUNCTION("""COMPUTED_VALUE"""),27)</f>
        <v>27</v>
      </c>
      <c r="E12" s="60" t="str">
        <f ca="1">IFERROR(__xludf.DUMMYFUNCTION("""COMPUTED_VALUE"""),"https://scholar.google.com.br/citations?hl=en&amp;vq=eng_theoreticalcomputerscience&amp;view_op=list_hcore&amp;venue=uMkIEwVx22wJ.2020")</f>
        <v>https://scholar.google.com.br/citations?hl=en&amp;vq=eng_theoreticalcomputerscience&amp;view_op=list_hcore&amp;venue=uMkIEwVx22wJ.2020</v>
      </c>
    </row>
    <row r="13" spans="1:5" ht="25.5" customHeight="1">
      <c r="A13" s="70" t="str">
        <f ca="1">IFERROR(__xludf.DUMMYFUNCTION("""COMPUTED_VALUE"""),"Top 20")</f>
        <v>Top 20</v>
      </c>
      <c r="B13" s="46" t="str">
        <f ca="1">IFERROR(__xludf.DUMMYFUNCTION("""COMPUTED_VALUE"""),"SAT")</f>
        <v>SAT</v>
      </c>
      <c r="C13" s="46" t="str">
        <f ca="1">IFERROR(__xludf.DUMMYFUNCTION("""COMPUTED_VALUE"""),"International Conference on Theory and Applications of Satisfiability Testing")</f>
        <v>International Conference on Theory and Applications of Satisfiability Testing</v>
      </c>
      <c r="D13" s="46">
        <f ca="1">IFERROR(__xludf.DUMMYFUNCTION("""COMPUTED_VALUE"""),23)</f>
        <v>23</v>
      </c>
      <c r="E13" s="60" t="str">
        <f ca="1">IFERROR(__xludf.DUMMYFUNCTION("""COMPUTED_VALUE"""),"https://scholar.google.com/citations?hl=en&amp;view_op=list_hcore&amp;venue=Ydp6NbVxpcEJ.2020")</f>
        <v>https://scholar.google.com/citations?hl=en&amp;view_op=list_hcore&amp;venue=Ydp6NbVxpcEJ.2020</v>
      </c>
    </row>
    <row r="14" spans="1:5" ht="25.5" customHeight="1">
      <c r="A14" s="70" t="str">
        <f ca="1">IFERROR(__xludf.DUMMYFUNCTION("""COMPUTED_VALUE"""),"Top 20")</f>
        <v>Top 20</v>
      </c>
      <c r="B14" s="46" t="str">
        <f ca="1">IFERROR(__xludf.DUMMYFUNCTION("""COMPUTED_VALUE"""),"AIML")</f>
        <v>AIML</v>
      </c>
      <c r="C14" s="46" t="str">
        <f ca="1">IFERROR(__xludf.DUMMYFUNCTION("""COMPUTED_VALUE"""),"Advances in Modal Logic")</f>
        <v>Advances in Modal Logic</v>
      </c>
      <c r="D14" s="46"/>
      <c r="E14" s="60"/>
    </row>
    <row r="15" spans="1:5" ht="25.5" customHeight="1">
      <c r="A15" s="70" t="str">
        <f ca="1">IFERROR(__xludf.DUMMYFUNCTION("""COMPUTED_VALUE"""),"Top 20")</f>
        <v>Top 20</v>
      </c>
      <c r="B15" s="46" t="str">
        <f ca="1">IFERROR(__xludf.DUMMYFUNCTION("""COMPUTED_VALUE"""),"FROCOS")</f>
        <v>FROCOS</v>
      </c>
      <c r="C15" s="46" t="str">
        <f ca="1">IFERROR(__xludf.DUMMYFUNCTION("""COMPUTED_VALUE"""),"International Symposium on Frontiers of Combining System")</f>
        <v>International Symposium on Frontiers of Combining System</v>
      </c>
      <c r="D15" s="46"/>
      <c r="E15" s="60"/>
    </row>
    <row r="16" spans="1:5" ht="25.5" customHeight="1">
      <c r="A16" s="70" t="str">
        <f ca="1">IFERROR(__xludf.DUMMYFUNCTION("""COMPUTED_VALUE"""),"Top 20")</f>
        <v>Top 20</v>
      </c>
      <c r="B16" s="46" t="str">
        <f ca="1">IFERROR(__xludf.DUMMYFUNCTION("""COMPUTED_VALUE"""),"ESOP")</f>
        <v>ESOP</v>
      </c>
      <c r="C16" s="46" t="str">
        <f ca="1">IFERROR(__xludf.DUMMYFUNCTION("""COMPUTED_VALUE"""),"European Symposium on Programming")</f>
        <v>European Symposium on Programming</v>
      </c>
      <c r="D16" s="46">
        <f ca="1">IFERROR(__xludf.DUMMYFUNCTION("""COMPUTED_VALUE"""),25)</f>
        <v>25</v>
      </c>
      <c r="E16" s="60" t="str">
        <f ca="1">IFERROR(__xludf.DUMMYFUNCTION("""COMPUTED_VALUE"""),"https://scholar.google.com.br/citations?hl=en&amp;view_op=list_hcore&amp;venue=UtpXAOWmk9EJ.2020")</f>
        <v>https://scholar.google.com.br/citations?hl=en&amp;view_op=list_hcore&amp;venue=UtpXAOWmk9EJ.2020</v>
      </c>
    </row>
    <row r="17" spans="1:5" ht="25.5" customHeight="1">
      <c r="A17" s="70" t="str">
        <f ca="1">IFERROR(__xludf.DUMMYFUNCTION("""COMPUTED_VALUE"""),"Top 20")</f>
        <v>Top 20</v>
      </c>
      <c r="B17" s="46" t="str">
        <f ca="1">IFERROR(__xludf.DUMMYFUNCTION("""COMPUTED_VALUE"""),"MFCS")</f>
        <v>MFCS</v>
      </c>
      <c r="C17" s="46" t="str">
        <f ca="1">IFERROR(__xludf.DUMMYFUNCTION("""COMPUTED_VALUE"""),"International Symposium on Mathematical Foundations of Computer Science")</f>
        <v>International Symposium on Mathematical Foundations of Computer Science</v>
      </c>
      <c r="D17" s="46">
        <f ca="1">IFERROR(__xludf.DUMMYFUNCTION("""COMPUTED_VALUE"""),18)</f>
        <v>18</v>
      </c>
      <c r="E17" s="60" t="str">
        <f ca="1">IFERROR(__xludf.DUMMYFUNCTION("""COMPUTED_VALUE"""),"https://scholar.google.com.br/citations?hl=en&amp;view_op=list_hcore&amp;venue=b7Wt8oz6uqAJ.2020")</f>
        <v>https://scholar.google.com.br/citations?hl=en&amp;view_op=list_hcore&amp;venue=b7Wt8oz6uqAJ.2020</v>
      </c>
    </row>
    <row r="18" spans="1:5" ht="25.5" customHeight="1">
      <c r="A18" s="70" t="str">
        <f ca="1">IFERROR(__xludf.DUMMYFUNCTION("""COMPUTED_VALUE"""),"Top 20")</f>
        <v>Top 20</v>
      </c>
      <c r="B18" s="46" t="str">
        <f ca="1">IFERROR(__xludf.DUMMYFUNCTION("""COMPUTED_VALUE"""),"CFP")</f>
        <v>CFP</v>
      </c>
      <c r="C18" s="46" t="str">
        <f ca="1">IFERROR(__xludf.DUMMYFUNCTION("""COMPUTED_VALUE"""),"ACM SIGPLAN International Conference on Functional Programming")</f>
        <v>ACM SIGPLAN International Conference on Functional Programming</v>
      </c>
      <c r="D18" s="46"/>
      <c r="E18" s="60"/>
    </row>
    <row r="19" spans="1:5" ht="25.5" customHeight="1">
      <c r="A19" s="70" t="str">
        <f ca="1">IFERROR(__xludf.DUMMYFUNCTION("""COMPUTED_VALUE"""),"Top 20")</f>
        <v>Top 20</v>
      </c>
      <c r="B19" s="46" t="str">
        <f ca="1">IFERROR(__xludf.DUMMYFUNCTION("""COMPUTED_VALUE"""),"FLOPS")</f>
        <v>FLOPS</v>
      </c>
      <c r="C19" s="46" t="str">
        <f ca="1">IFERROR(__xludf.DUMMYFUNCTION("""COMPUTED_VALUE"""),"International Symposium on Functional and Logic Programming")</f>
        <v>International Symposium on Functional and Logic Programming</v>
      </c>
      <c r="D19" s="46"/>
      <c r="E19" s="60"/>
    </row>
    <row r="20" spans="1:5" ht="25.5" customHeight="1">
      <c r="A20" s="70" t="str">
        <f ca="1">IFERROR(__xludf.DUMMYFUNCTION("""COMPUTED_VALUE"""),"Top 20")</f>
        <v>Top 20</v>
      </c>
      <c r="B20" s="46" t="str">
        <f ca="1">IFERROR(__xludf.DUMMYFUNCTION("""COMPUTED_VALUE"""),"ICCTCC")</f>
        <v>ICCTCC</v>
      </c>
      <c r="C20" s="46" t="str">
        <f ca="1">IFERROR(__xludf.DUMMYFUNCTION("""COMPUTED_VALUE"""),"International Conference on Computability Theory, Computability and Complexity")</f>
        <v>International Conference on Computability Theory, Computability and Complexity</v>
      </c>
      <c r="D20" s="46"/>
      <c r="E20" s="60"/>
    </row>
    <row r="21" spans="1:5" ht="25.5" customHeight="1">
      <c r="A21" s="70" t="str">
        <f ca="1">IFERROR(__xludf.DUMMYFUNCTION("""COMPUTED_VALUE"""),"Top 20")</f>
        <v>Top 20</v>
      </c>
      <c r="B21" s="46" t="str">
        <f ca="1">IFERROR(__xludf.DUMMYFUNCTION("""COMPUTED_VALUE"""),"IJCAR")</f>
        <v>IJCAR</v>
      </c>
      <c r="C21" s="46" t="str">
        <f ca="1">IFERROR(__xludf.DUMMYFUNCTION("""COMPUTED_VALUE"""),"International Joint Conference on Automated Reasoning")</f>
        <v>International Joint Conference on Automated Reasoning</v>
      </c>
      <c r="D21" s="46"/>
      <c r="E21" s="60"/>
    </row>
    <row r="22" spans="1:5" ht="25.5" customHeight="1">
      <c r="A22" s="73" t="str">
        <f ca="1">IFERROR(__xludf.DUMMYFUNCTION("""COMPUTED_VALUE"""),"Eventos da Área")</f>
        <v>Eventos da Área</v>
      </c>
      <c r="B22" s="46" t="str">
        <f ca="1">IFERROR(__xludf.DUMMYFUNCTION("""COMPUTED_VALUE"""),"WBL")</f>
        <v>WBL</v>
      </c>
      <c r="C22" s="46" t="str">
        <f ca="1">IFERROR(__xludf.DUMMYFUNCTION("""COMPUTED_VALUE"""),"Workshop Brasileiro de Lógica")</f>
        <v>Workshop Brasileiro de Lógica</v>
      </c>
      <c r="D22" s="46"/>
      <c r="E22" s="60"/>
    </row>
    <row r="43" spans="1:5" s="12" customFormat="1" ht="15.75" customHeight="1">
      <c r="A43" s="14"/>
      <c r="E43" s="7"/>
    </row>
    <row r="44" spans="1:5" s="12" customFormat="1" ht="15.75" customHeight="1">
      <c r="A44" s="14"/>
      <c r="E44" s="7"/>
    </row>
    <row r="47" spans="1:5" ht="15.75" customHeight="1">
      <c r="C47" s="12"/>
    </row>
  </sheetData>
  <hyperlinks>
    <hyperlink ref="E2" r:id="rId1" display="https://scholar.google.com.br/citations?hl=en&amp;vq=eng_theoreticalcomputerscience&amp;view_op=list_hcore&amp;venue=5mWbSIB9be8J.2020"/>
    <hyperlink ref="E3" r:id="rId2" display="https://scholar.google.com.br/citations?hl=en&amp;view_op=list_hcore&amp;venue=xfuNJ8sxOdEJ.2020"/>
    <hyperlink ref="E5" r:id="rId3" display="https://scholar.google.com.br/citations?hl=en&amp;view_op=list_hcore&amp;venue=q-MXMv7GdwAJ.2020"/>
    <hyperlink ref="E7" r:id="rId4" display="https://scholar.google.com.br/citations?hl=en&amp;view_op=list_hcore&amp;venue=PPMBzcum8FkJ.2020"/>
    <hyperlink ref="E8" r:id="rId5" display="https://scholar.google.com.br/citations?hl=en&amp;view_op=list_hcore&amp;venue=-_yucm7AqqAJ.2020"/>
    <hyperlink ref="E11" r:id="rId6" display="https://scholar.google.com.br/citations?hl=en&amp;view_op=list_hcore&amp;venue=foujqxJmEBEJ.2020"/>
    <hyperlink ref="E12" r:id="rId7" display="https://scholar.google.com.br/citations?hl=en&amp;vq=eng_theoreticalcomputerscience&amp;view_op=list_hcore&amp;venue=uMkIEwVx22wJ.2020"/>
    <hyperlink ref="E13" r:id="rId8" display="https://scholar.google.com/citations?hl=en&amp;view_op=list_hcore&amp;venue=Ydp6NbVxpcEJ.2020"/>
    <hyperlink ref="E16" r:id="rId9" display="https://scholar.google.com.br/citations?hl=en&amp;view_op=list_hcore&amp;venue=UtpXAOWmk9EJ.2020"/>
    <hyperlink ref="E17" r:id="rId10" display="https://scholar.google.com.br/citations?hl=en&amp;view_op=list_hcore&amp;venue=b7Wt8oz6uqAJ.2020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7"/>
  <sheetViews>
    <sheetView showGridLines="0" zoomScaleNormal="100" workbookViewId="0">
      <pane ySplit="1" topLeftCell="A2" activePane="bottomLeft" state="frozen"/>
      <selection activeCell="C34" sqref="C34"/>
      <selection pane="bottomLeft" activeCell="C34" sqref="C34"/>
    </sheetView>
  </sheetViews>
  <sheetFormatPr defaultColWidth="12.5703125" defaultRowHeight="15.75" customHeight="1"/>
  <cols>
    <col min="1" max="1" width="16.140625" style="22" bestFit="1" customWidth="1"/>
    <col min="2" max="2" width="11" style="22" bestFit="1" customWidth="1"/>
    <col min="3" max="3" width="99.5703125" style="22" bestFit="1" customWidth="1"/>
    <col min="4" max="4" width="4.140625" style="22" bestFit="1" customWidth="1"/>
    <col min="5" max="5" width="125.140625" style="22" bestFit="1" customWidth="1"/>
    <col min="6" max="16384" width="12.5703125" style="22"/>
  </cols>
  <sheetData>
    <row r="1" spans="1:25" ht="25.5" customHeight="1">
      <c r="A1" s="16" t="s">
        <v>2359</v>
      </c>
      <c r="B1" s="16" t="s">
        <v>0</v>
      </c>
      <c r="C1" s="16" t="s">
        <v>2360</v>
      </c>
      <c r="D1" s="16" t="s">
        <v>2361</v>
      </c>
      <c r="E1" s="16" t="s">
        <v>2362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25.5" customHeight="1">
      <c r="A2" s="23" t="s">
        <v>2363</v>
      </c>
      <c r="B2" s="24" t="s">
        <v>138</v>
      </c>
      <c r="C2" s="24" t="s">
        <v>139</v>
      </c>
      <c r="D2" s="24">
        <v>58</v>
      </c>
      <c r="E2" s="24" t="s">
        <v>2364</v>
      </c>
    </row>
    <row r="3" spans="1:25" ht="25.5" customHeight="1">
      <c r="A3" s="23" t="s">
        <v>2363</v>
      </c>
      <c r="B3" s="24" t="s">
        <v>80</v>
      </c>
      <c r="C3" s="24" t="s">
        <v>2365</v>
      </c>
      <c r="D3" s="24">
        <v>51</v>
      </c>
      <c r="E3" s="24" t="s">
        <v>2366</v>
      </c>
    </row>
    <row r="4" spans="1:25" ht="25.5" customHeight="1">
      <c r="A4" s="23" t="s">
        <v>2363</v>
      </c>
      <c r="B4" s="24" t="s">
        <v>16</v>
      </c>
      <c r="C4" s="24" t="s">
        <v>17</v>
      </c>
      <c r="D4" s="24">
        <v>51</v>
      </c>
      <c r="E4" s="24" t="s">
        <v>2367</v>
      </c>
    </row>
    <row r="5" spans="1:25" ht="25.5" customHeight="1">
      <c r="A5" s="23" t="s">
        <v>2363</v>
      </c>
      <c r="B5" s="24" t="s">
        <v>132</v>
      </c>
      <c r="C5" s="24" t="s">
        <v>2368</v>
      </c>
      <c r="D5" s="24">
        <v>46</v>
      </c>
      <c r="E5" s="24" t="s">
        <v>2369</v>
      </c>
    </row>
    <row r="6" spans="1:25" ht="25.5" customHeight="1">
      <c r="A6" s="23" t="s">
        <v>2363</v>
      </c>
      <c r="B6" s="24" t="s">
        <v>184</v>
      </c>
      <c r="C6" s="24" t="s">
        <v>2370</v>
      </c>
      <c r="D6" s="24">
        <v>42</v>
      </c>
      <c r="E6" s="24" t="s">
        <v>2371</v>
      </c>
    </row>
    <row r="7" spans="1:25" ht="25.5" customHeight="1">
      <c r="A7" s="23" t="s">
        <v>2363</v>
      </c>
      <c r="B7" s="24" t="s">
        <v>2372</v>
      </c>
      <c r="C7" s="24" t="s">
        <v>2373</v>
      </c>
      <c r="D7" s="24">
        <v>41</v>
      </c>
      <c r="E7" s="24" t="s">
        <v>2374</v>
      </c>
    </row>
    <row r="8" spans="1:25" ht="25.5" customHeight="1">
      <c r="A8" s="23" t="s">
        <v>2363</v>
      </c>
      <c r="B8" s="24" t="s">
        <v>2375</v>
      </c>
      <c r="C8" s="24" t="s">
        <v>2376</v>
      </c>
      <c r="D8" s="24">
        <v>33</v>
      </c>
      <c r="E8" s="24" t="s">
        <v>2377</v>
      </c>
    </row>
    <row r="9" spans="1:25" ht="25.5" customHeight="1">
      <c r="A9" s="23" t="s">
        <v>2363</v>
      </c>
      <c r="B9" s="24" t="s">
        <v>2378</v>
      </c>
      <c r="C9" s="24" t="s">
        <v>2379</v>
      </c>
      <c r="D9" s="24">
        <v>32</v>
      </c>
      <c r="E9" s="24" t="s">
        <v>2380</v>
      </c>
    </row>
    <row r="10" spans="1:25" ht="25.5" customHeight="1">
      <c r="A10" s="23" t="s">
        <v>2363</v>
      </c>
      <c r="B10" s="24" t="s">
        <v>140</v>
      </c>
      <c r="C10" s="24" t="s">
        <v>141</v>
      </c>
      <c r="D10" s="24">
        <v>29</v>
      </c>
      <c r="E10" s="24" t="s">
        <v>2381</v>
      </c>
    </row>
    <row r="11" spans="1:25" ht="25.5" customHeight="1">
      <c r="A11" s="23" t="s">
        <v>2363</v>
      </c>
      <c r="B11" s="24" t="s">
        <v>168</v>
      </c>
      <c r="C11" s="24" t="s">
        <v>169</v>
      </c>
      <c r="D11" s="24">
        <v>28</v>
      </c>
      <c r="E11" s="24" t="s">
        <v>2382</v>
      </c>
    </row>
    <row r="12" spans="1:25" ht="25.5" customHeight="1">
      <c r="A12" s="26" t="s">
        <v>2383</v>
      </c>
      <c r="B12" s="24" t="s">
        <v>82</v>
      </c>
      <c r="C12" s="24" t="s">
        <v>2384</v>
      </c>
      <c r="D12" s="24">
        <v>28</v>
      </c>
      <c r="E12" s="24" t="s">
        <v>2385</v>
      </c>
    </row>
    <row r="13" spans="1:25" ht="25.5" customHeight="1">
      <c r="A13" s="26" t="s">
        <v>2383</v>
      </c>
      <c r="B13" s="24" t="s">
        <v>2386</v>
      </c>
      <c r="C13" s="24" t="s">
        <v>2387</v>
      </c>
      <c r="D13" s="24">
        <v>25</v>
      </c>
      <c r="E13" s="24" t="s">
        <v>2388</v>
      </c>
    </row>
    <row r="14" spans="1:25" ht="25.5" customHeight="1">
      <c r="A14" s="26" t="s">
        <v>2383</v>
      </c>
      <c r="B14" s="24" t="s">
        <v>2389</v>
      </c>
      <c r="C14" s="24" t="s">
        <v>2390</v>
      </c>
      <c r="D14" s="24">
        <v>25</v>
      </c>
      <c r="E14" s="24" t="s">
        <v>2391</v>
      </c>
    </row>
    <row r="15" spans="1:25" ht="25.5" customHeight="1">
      <c r="A15" s="26" t="s">
        <v>2383</v>
      </c>
      <c r="B15" s="24" t="s">
        <v>2392</v>
      </c>
      <c r="C15" s="24" t="s">
        <v>2393</v>
      </c>
      <c r="D15" s="24">
        <v>25</v>
      </c>
      <c r="E15" s="24" t="s">
        <v>2394</v>
      </c>
    </row>
    <row r="16" spans="1:25" ht="25.5" customHeight="1">
      <c r="A16" s="26" t="s">
        <v>2383</v>
      </c>
      <c r="B16" s="24" t="s">
        <v>2395</v>
      </c>
      <c r="C16" s="24" t="s">
        <v>59</v>
      </c>
      <c r="D16" s="24">
        <v>22</v>
      </c>
      <c r="E16" s="24" t="s">
        <v>2396</v>
      </c>
    </row>
    <row r="17" spans="1:5" ht="25.5" customHeight="1">
      <c r="A17" s="26" t="s">
        <v>2383</v>
      </c>
      <c r="B17" s="24" t="s">
        <v>354</v>
      </c>
      <c r="C17" s="24" t="s">
        <v>355</v>
      </c>
      <c r="D17" s="24">
        <v>22</v>
      </c>
      <c r="E17" s="24" t="s">
        <v>2397</v>
      </c>
    </row>
    <row r="18" spans="1:5" ht="25.5" customHeight="1">
      <c r="A18" s="26" t="s">
        <v>2383</v>
      </c>
      <c r="B18" s="24" t="s">
        <v>2398</v>
      </c>
      <c r="C18" s="24" t="s">
        <v>2399</v>
      </c>
      <c r="D18" s="24">
        <v>21</v>
      </c>
      <c r="E18" s="24" t="s">
        <v>2400</v>
      </c>
    </row>
    <row r="19" spans="1:5" ht="25.5" customHeight="1">
      <c r="A19" s="26" t="s">
        <v>2383</v>
      </c>
      <c r="B19" s="24" t="s">
        <v>110</v>
      </c>
      <c r="C19" s="24" t="s">
        <v>111</v>
      </c>
      <c r="D19" s="24">
        <v>21</v>
      </c>
      <c r="E19" s="24" t="s">
        <v>2401</v>
      </c>
    </row>
    <row r="20" spans="1:5" ht="25.5" customHeight="1">
      <c r="A20" s="26" t="s">
        <v>2383</v>
      </c>
      <c r="B20" s="24" t="s">
        <v>314</v>
      </c>
      <c r="C20" s="24" t="s">
        <v>2402</v>
      </c>
      <c r="D20" s="24">
        <v>21</v>
      </c>
      <c r="E20" s="24" t="s">
        <v>2403</v>
      </c>
    </row>
    <row r="21" spans="1:5" ht="25.5" customHeight="1">
      <c r="A21" s="26" t="s">
        <v>2383</v>
      </c>
      <c r="B21" s="24" t="s">
        <v>948</v>
      </c>
      <c r="C21" s="24" t="s">
        <v>2404</v>
      </c>
      <c r="D21" s="24">
        <v>12</v>
      </c>
      <c r="E21" s="24" t="s">
        <v>2405</v>
      </c>
    </row>
    <row r="22" spans="1:5" ht="25.5" customHeight="1">
      <c r="A22" s="27" t="s">
        <v>2406</v>
      </c>
      <c r="B22" s="24" t="s">
        <v>2407</v>
      </c>
      <c r="C22" s="24" t="s">
        <v>2408</v>
      </c>
      <c r="D22" s="24">
        <v>21</v>
      </c>
      <c r="E22" s="24" t="s">
        <v>2409</v>
      </c>
    </row>
    <row r="23" spans="1:5" ht="25.5" customHeight="1">
      <c r="A23" s="27" t="s">
        <v>2406</v>
      </c>
      <c r="B23" s="24" t="s">
        <v>2410</v>
      </c>
      <c r="C23" s="24" t="s">
        <v>251</v>
      </c>
      <c r="D23" s="24">
        <v>20</v>
      </c>
      <c r="E23" s="24" t="s">
        <v>2411</v>
      </c>
    </row>
    <row r="24" spans="1:5" ht="25.5" customHeight="1">
      <c r="A24" s="27" t="s">
        <v>2406</v>
      </c>
      <c r="B24" s="24" t="s">
        <v>414</v>
      </c>
      <c r="C24" s="24" t="s">
        <v>415</v>
      </c>
      <c r="D24" s="24">
        <v>20</v>
      </c>
      <c r="E24" s="24" t="s">
        <v>2412</v>
      </c>
    </row>
    <row r="25" spans="1:5" ht="25.5" customHeight="1">
      <c r="A25" s="27" t="s">
        <v>2406</v>
      </c>
      <c r="B25" s="24" t="s">
        <v>362</v>
      </c>
      <c r="C25" s="24" t="s">
        <v>363</v>
      </c>
      <c r="D25" s="24">
        <v>20</v>
      </c>
      <c r="E25" s="24" t="s">
        <v>2413</v>
      </c>
    </row>
    <row r="26" spans="1:5" ht="25.5" customHeight="1">
      <c r="A26" s="27" t="s">
        <v>2406</v>
      </c>
      <c r="B26" s="24" t="s">
        <v>678</v>
      </c>
      <c r="C26" s="24" t="s">
        <v>679</v>
      </c>
      <c r="D26" s="24">
        <v>17</v>
      </c>
      <c r="E26" s="24" t="s">
        <v>2414</v>
      </c>
    </row>
    <row r="27" spans="1:5" ht="25.5" customHeight="1">
      <c r="A27" s="27" t="s">
        <v>2406</v>
      </c>
      <c r="B27" s="24" t="s">
        <v>596</v>
      </c>
      <c r="C27" s="24" t="s">
        <v>2415</v>
      </c>
      <c r="D27" s="24">
        <v>16</v>
      </c>
      <c r="E27" s="24" t="s">
        <v>2416</v>
      </c>
    </row>
    <row r="28" spans="1:5" ht="25.5" customHeight="1">
      <c r="A28" s="27" t="s">
        <v>2406</v>
      </c>
      <c r="B28" s="24" t="s">
        <v>2417</v>
      </c>
      <c r="C28" s="24" t="s">
        <v>2418</v>
      </c>
      <c r="D28" s="24">
        <v>16</v>
      </c>
      <c r="E28" s="24" t="s">
        <v>2419</v>
      </c>
    </row>
    <row r="29" spans="1:5" ht="25.5" customHeight="1">
      <c r="A29" s="27" t="s">
        <v>2406</v>
      </c>
      <c r="B29" s="24" t="s">
        <v>500</v>
      </c>
      <c r="C29" s="24" t="s">
        <v>501</v>
      </c>
      <c r="D29" s="24">
        <v>15</v>
      </c>
      <c r="E29" s="24" t="s">
        <v>2420</v>
      </c>
    </row>
    <row r="30" spans="1:5" ht="25.5" customHeight="1">
      <c r="A30" s="27" t="s">
        <v>2406</v>
      </c>
      <c r="B30" s="24" t="s">
        <v>522</v>
      </c>
      <c r="C30" s="24" t="s">
        <v>523</v>
      </c>
      <c r="D30" s="24">
        <v>15</v>
      </c>
      <c r="E30" s="24" t="s">
        <v>2421</v>
      </c>
    </row>
    <row r="31" spans="1:5" ht="25.5" customHeight="1">
      <c r="A31" s="27" t="s">
        <v>2406</v>
      </c>
      <c r="B31" s="24" t="s">
        <v>2422</v>
      </c>
      <c r="C31" s="24" t="s">
        <v>2423</v>
      </c>
      <c r="D31" s="24">
        <v>14</v>
      </c>
      <c r="E31" s="24" t="s">
        <v>2424</v>
      </c>
    </row>
    <row r="32" spans="1:5" ht="25.5" customHeight="1">
      <c r="A32" s="27" t="s">
        <v>2406</v>
      </c>
      <c r="B32" s="24" t="s">
        <v>336</v>
      </c>
      <c r="C32" s="24" t="s">
        <v>337</v>
      </c>
      <c r="D32" s="24">
        <v>13</v>
      </c>
      <c r="E32" s="24" t="s">
        <v>2425</v>
      </c>
    </row>
    <row r="33" spans="1:5" ht="25.5" customHeight="1">
      <c r="A33" s="27" t="s">
        <v>2406</v>
      </c>
      <c r="B33" s="24" t="s">
        <v>710</v>
      </c>
      <c r="C33" s="24" t="s">
        <v>711</v>
      </c>
      <c r="D33" s="24">
        <v>13</v>
      </c>
      <c r="E33" s="24" t="s">
        <v>2426</v>
      </c>
    </row>
    <row r="34" spans="1:5" ht="25.5" customHeight="1">
      <c r="A34" s="27" t="s">
        <v>2406</v>
      </c>
      <c r="B34" s="24" t="s">
        <v>2427</v>
      </c>
      <c r="C34" s="24" t="s">
        <v>895</v>
      </c>
      <c r="D34" s="24">
        <v>12</v>
      </c>
      <c r="E34" s="24" t="s">
        <v>2428</v>
      </c>
    </row>
    <row r="35" spans="1:5" ht="25.5" customHeight="1">
      <c r="A35" s="27" t="s">
        <v>2406</v>
      </c>
      <c r="B35" s="24" t="s">
        <v>890</v>
      </c>
      <c r="C35" s="24" t="s">
        <v>891</v>
      </c>
      <c r="D35" s="24">
        <v>12</v>
      </c>
      <c r="E35" s="24" t="s">
        <v>2429</v>
      </c>
    </row>
    <row r="36" spans="1:5" ht="25.5" customHeight="1">
      <c r="A36" s="27" t="s">
        <v>2406</v>
      </c>
      <c r="B36" s="24" t="s">
        <v>2430</v>
      </c>
      <c r="C36" s="24" t="s">
        <v>2431</v>
      </c>
      <c r="D36" s="24">
        <v>12</v>
      </c>
      <c r="E36" s="24" t="s">
        <v>2432</v>
      </c>
    </row>
    <row r="37" spans="1:5" ht="25.5" customHeight="1">
      <c r="A37" s="27" t="s">
        <v>2406</v>
      </c>
      <c r="B37" s="24" t="s">
        <v>2433</v>
      </c>
      <c r="C37" s="24" t="s">
        <v>2434</v>
      </c>
      <c r="D37" s="24">
        <v>12</v>
      </c>
      <c r="E37" s="24" t="s">
        <v>2435</v>
      </c>
    </row>
    <row r="38" spans="1:5" ht="25.5" customHeight="1">
      <c r="A38" s="27" t="s">
        <v>2406</v>
      </c>
      <c r="B38" s="24" t="s">
        <v>2436</v>
      </c>
      <c r="C38" s="24" t="s">
        <v>2437</v>
      </c>
      <c r="D38" s="24">
        <v>12</v>
      </c>
      <c r="E38" s="24" t="s">
        <v>2438</v>
      </c>
    </row>
    <row r="39" spans="1:5" ht="25.5" customHeight="1">
      <c r="A39" s="27" t="s">
        <v>2406</v>
      </c>
      <c r="B39" s="24" t="s">
        <v>2439</v>
      </c>
      <c r="C39" s="24" t="s">
        <v>927</v>
      </c>
      <c r="D39" s="24">
        <v>11</v>
      </c>
      <c r="E39" s="24" t="s">
        <v>2440</v>
      </c>
    </row>
    <row r="40" spans="1:5" ht="25.5" customHeight="1">
      <c r="A40" s="27" t="s">
        <v>2406</v>
      </c>
      <c r="B40" s="24" t="s">
        <v>2441</v>
      </c>
      <c r="C40" s="24" t="s">
        <v>2442</v>
      </c>
      <c r="D40" s="24">
        <v>11</v>
      </c>
      <c r="E40" s="24" t="s">
        <v>2443</v>
      </c>
    </row>
    <row r="41" spans="1:5" ht="25.5" customHeight="1">
      <c r="A41" s="27" t="s">
        <v>2406</v>
      </c>
      <c r="B41" s="24" t="s">
        <v>1385</v>
      </c>
      <c r="C41" s="24" t="s">
        <v>2444</v>
      </c>
      <c r="D41" s="24">
        <v>11</v>
      </c>
      <c r="E41" s="24" t="s">
        <v>2445</v>
      </c>
    </row>
    <row r="42" spans="1:5" ht="25.5" customHeight="1">
      <c r="A42" s="27" t="s">
        <v>2406</v>
      </c>
      <c r="B42" s="24" t="s">
        <v>898</v>
      </c>
      <c r="C42" s="24" t="s">
        <v>899</v>
      </c>
      <c r="D42" s="24">
        <v>10</v>
      </c>
      <c r="E42" s="24" t="s">
        <v>2446</v>
      </c>
    </row>
    <row r="43" spans="1:5" ht="25.5" customHeight="1">
      <c r="A43" s="27" t="s">
        <v>2406</v>
      </c>
      <c r="B43" s="24" t="s">
        <v>2447</v>
      </c>
      <c r="C43" s="24" t="s">
        <v>2448</v>
      </c>
      <c r="D43" s="24">
        <v>8</v>
      </c>
      <c r="E43" s="24" t="s">
        <v>2449</v>
      </c>
    </row>
    <row r="44" spans="1:5" ht="25.5" customHeight="1">
      <c r="A44" s="27" t="s">
        <v>2406</v>
      </c>
      <c r="B44" s="24" t="s">
        <v>1363</v>
      </c>
      <c r="C44" s="24" t="s">
        <v>1364</v>
      </c>
      <c r="D44" s="24">
        <v>6</v>
      </c>
      <c r="E44" s="24" t="s">
        <v>2450</v>
      </c>
    </row>
    <row r="45" spans="1:5" ht="25.5" customHeight="1">
      <c r="A45" s="27" t="s">
        <v>2406</v>
      </c>
      <c r="B45" s="24" t="s">
        <v>1409</v>
      </c>
      <c r="C45" s="24" t="s">
        <v>2451</v>
      </c>
      <c r="D45" s="24"/>
      <c r="E45" s="24"/>
    </row>
    <row r="46" spans="1:5" ht="25.5" customHeight="1">
      <c r="A46" s="27" t="s">
        <v>2406</v>
      </c>
      <c r="B46" s="24" t="s">
        <v>1667</v>
      </c>
      <c r="C46" s="24" t="s">
        <v>1668</v>
      </c>
      <c r="D46" s="24"/>
      <c r="E46" s="24"/>
    </row>
    <row r="47" spans="1:5" ht="25.5" customHeight="1">
      <c r="A47" s="27" t="s">
        <v>2406</v>
      </c>
      <c r="B47" s="24" t="s">
        <v>2452</v>
      </c>
      <c r="C47" s="24" t="s">
        <v>2453</v>
      </c>
      <c r="D47" s="24"/>
      <c r="E47" s="24" t="s">
        <v>2454</v>
      </c>
    </row>
    <row r="48" spans="1:5" ht="25.5" customHeight="1">
      <c r="A48" s="27" t="s">
        <v>2406</v>
      </c>
      <c r="B48" s="24" t="s">
        <v>2455</v>
      </c>
      <c r="C48" s="24" t="s">
        <v>2456</v>
      </c>
      <c r="D48" s="24"/>
      <c r="E48" s="24"/>
    </row>
    <row r="49" spans="1:5" ht="25.5" customHeight="1">
      <c r="A49" s="27" t="s">
        <v>2406</v>
      </c>
      <c r="B49" s="24" t="s">
        <v>2457</v>
      </c>
      <c r="C49" s="24" t="s">
        <v>2458</v>
      </c>
      <c r="D49" s="24">
        <v>77</v>
      </c>
      <c r="E49" s="24" t="s">
        <v>2459</v>
      </c>
    </row>
    <row r="50" spans="1:5" ht="25.5" customHeight="1">
      <c r="A50" s="27" t="s">
        <v>2406</v>
      </c>
      <c r="B50" s="24" t="s">
        <v>40</v>
      </c>
      <c r="C50" s="24" t="s">
        <v>41</v>
      </c>
      <c r="D50" s="24">
        <v>46</v>
      </c>
      <c r="E50" s="24" t="s">
        <v>2460</v>
      </c>
    </row>
    <row r="51" spans="1:5" ht="25.5" customHeight="1">
      <c r="A51" s="27" t="s">
        <v>2406</v>
      </c>
      <c r="B51" s="24" t="s">
        <v>2461</v>
      </c>
      <c r="C51" s="24" t="s">
        <v>2462</v>
      </c>
      <c r="D51" s="24">
        <v>33</v>
      </c>
      <c r="E51" s="24" t="s">
        <v>2463</v>
      </c>
    </row>
    <row r="52" spans="1:5" ht="25.5" customHeight="1">
      <c r="A52" s="27" t="s">
        <v>2406</v>
      </c>
      <c r="B52" s="24" t="s">
        <v>2464</v>
      </c>
      <c r="C52" s="24" t="s">
        <v>2465</v>
      </c>
      <c r="D52" s="24">
        <v>26</v>
      </c>
      <c r="E52" s="24" t="s">
        <v>2466</v>
      </c>
    </row>
    <row r="53" spans="1:5" ht="25.5" customHeight="1">
      <c r="A53" s="27" t="s">
        <v>2406</v>
      </c>
      <c r="B53" s="24" t="s">
        <v>312</v>
      </c>
      <c r="C53" s="24" t="s">
        <v>2467</v>
      </c>
      <c r="D53" s="24">
        <v>26</v>
      </c>
      <c r="E53" s="24" t="s">
        <v>2468</v>
      </c>
    </row>
    <row r="54" spans="1:5" ht="25.5" customHeight="1">
      <c r="A54" s="27" t="s">
        <v>2406</v>
      </c>
      <c r="B54" s="24" t="s">
        <v>1026</v>
      </c>
      <c r="C54" s="24" t="s">
        <v>1027</v>
      </c>
      <c r="D54" s="24">
        <v>12</v>
      </c>
      <c r="E54" s="24" t="s">
        <v>2469</v>
      </c>
    </row>
    <row r="55" spans="1:5" ht="25.5" customHeight="1">
      <c r="A55" s="27" t="s">
        <v>2406</v>
      </c>
      <c r="B55" s="24" t="s">
        <v>582</v>
      </c>
      <c r="C55" s="24" t="s">
        <v>2470</v>
      </c>
      <c r="D55" s="24">
        <v>10</v>
      </c>
      <c r="E55" s="24" t="s">
        <v>2471</v>
      </c>
    </row>
    <row r="56" spans="1:5" ht="25.5" customHeight="1">
      <c r="A56" s="27" t="s">
        <v>2406</v>
      </c>
      <c r="B56" s="24" t="s">
        <v>90</v>
      </c>
      <c r="C56" s="24" t="s">
        <v>91</v>
      </c>
      <c r="D56" s="24"/>
      <c r="E56" s="24"/>
    </row>
    <row r="57" spans="1:5" ht="25.5" customHeight="1">
      <c r="A57" s="27" t="s">
        <v>2406</v>
      </c>
      <c r="B57" s="24" t="s">
        <v>568</v>
      </c>
      <c r="C57" s="24" t="s">
        <v>2472</v>
      </c>
      <c r="D57" s="24"/>
      <c r="E57" s="24" t="s">
        <v>2473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3"/>
  <sheetViews>
    <sheetView showGridLines="0" zoomScaleNormal="100" workbookViewId="0">
      <pane ySplit="1" topLeftCell="A2" activePane="bottomLeft" state="frozen"/>
      <selection activeCell="C34" sqref="C34"/>
      <selection pane="bottomLeft" activeCell="C34" sqref="C34"/>
    </sheetView>
  </sheetViews>
  <sheetFormatPr defaultColWidth="12.5703125" defaultRowHeight="25.5" customHeight="1"/>
  <cols>
    <col min="1" max="1" width="16.140625" style="18" bestFit="1" customWidth="1"/>
    <col min="2" max="2" width="11" style="18" bestFit="1" customWidth="1"/>
    <col min="3" max="3" width="99.5703125" style="18" bestFit="1" customWidth="1"/>
    <col min="4" max="4" width="4.140625" style="18" bestFit="1" customWidth="1"/>
    <col min="5" max="5" width="130.28515625" style="18" bestFit="1" customWidth="1"/>
    <col min="6" max="16384" width="12.5703125" style="18"/>
  </cols>
  <sheetData>
    <row r="1" spans="1:24" s="22" customFormat="1" ht="25.5" customHeight="1">
      <c r="A1" s="16" t="s">
        <v>2359</v>
      </c>
      <c r="B1" s="16" t="s">
        <v>0</v>
      </c>
      <c r="C1" s="16" t="s">
        <v>2360</v>
      </c>
      <c r="D1" s="16" t="s">
        <v>2361</v>
      </c>
      <c r="E1" s="16" t="s">
        <v>2362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s="22" customFormat="1" ht="25.5" customHeight="1">
      <c r="A2" s="23" t="s">
        <v>2363</v>
      </c>
      <c r="B2" s="24" t="s">
        <v>40</v>
      </c>
      <c r="C2" s="24" t="s">
        <v>41</v>
      </c>
      <c r="D2" s="24">
        <v>52</v>
      </c>
      <c r="E2" s="24" t="s">
        <v>2474</v>
      </c>
    </row>
    <row r="3" spans="1:24" s="22" customFormat="1" ht="25.5" customHeight="1">
      <c r="A3" s="23" t="s">
        <v>2363</v>
      </c>
      <c r="B3" s="24" t="s">
        <v>42</v>
      </c>
      <c r="C3" s="32" t="s">
        <v>43</v>
      </c>
      <c r="D3" s="24">
        <v>46</v>
      </c>
      <c r="E3" s="24" t="s">
        <v>2475</v>
      </c>
    </row>
    <row r="4" spans="1:24" s="22" customFormat="1" ht="25.5" customHeight="1">
      <c r="A4" s="23" t="s">
        <v>2363</v>
      </c>
      <c r="B4" s="24" t="s">
        <v>60</v>
      </c>
      <c r="C4" s="24" t="s">
        <v>61</v>
      </c>
      <c r="D4" s="24">
        <v>42</v>
      </c>
      <c r="E4" s="24" t="s">
        <v>2476</v>
      </c>
    </row>
    <row r="5" spans="1:24" s="22" customFormat="1" ht="25.5" customHeight="1">
      <c r="A5" s="23" t="s">
        <v>2363</v>
      </c>
      <c r="B5" s="24" t="s">
        <v>88</v>
      </c>
      <c r="C5" s="24" t="s">
        <v>2477</v>
      </c>
      <c r="D5" s="24">
        <v>33</v>
      </c>
      <c r="E5" s="24" t="s">
        <v>2478</v>
      </c>
    </row>
    <row r="6" spans="1:24" s="22" customFormat="1" ht="25.5" customHeight="1">
      <c r="A6" s="23" t="s">
        <v>2363</v>
      </c>
      <c r="B6" s="24" t="s">
        <v>2479</v>
      </c>
      <c r="C6" s="24" t="s">
        <v>2480</v>
      </c>
      <c r="D6" s="24">
        <v>29</v>
      </c>
      <c r="E6" s="24" t="s">
        <v>2481</v>
      </c>
    </row>
    <row r="7" spans="1:24" s="22" customFormat="1" ht="25.5" customHeight="1">
      <c r="A7" s="23" t="s">
        <v>2363</v>
      </c>
      <c r="B7" s="25" t="s">
        <v>50</v>
      </c>
      <c r="C7" s="24" t="s">
        <v>51</v>
      </c>
      <c r="D7" s="24">
        <v>26</v>
      </c>
      <c r="E7" s="24" t="s">
        <v>3222</v>
      </c>
    </row>
    <row r="8" spans="1:24" s="22" customFormat="1" ht="25.5" customHeight="1">
      <c r="A8" s="23" t="s">
        <v>2363</v>
      </c>
      <c r="B8" s="24" t="s">
        <v>312</v>
      </c>
      <c r="C8" s="24" t="s">
        <v>2467</v>
      </c>
      <c r="D8" s="24">
        <v>26</v>
      </c>
      <c r="E8" s="24" t="s">
        <v>2468</v>
      </c>
    </row>
    <row r="9" spans="1:24" s="22" customFormat="1" ht="25.5" customHeight="1">
      <c r="A9" s="23" t="s">
        <v>2363</v>
      </c>
      <c r="B9" s="24" t="s">
        <v>420</v>
      </c>
      <c r="C9" s="24" t="s">
        <v>2482</v>
      </c>
      <c r="D9" s="24">
        <v>23</v>
      </c>
      <c r="E9" s="24" t="s">
        <v>2483</v>
      </c>
    </row>
    <row r="10" spans="1:24" s="22" customFormat="1" ht="25.5" customHeight="1">
      <c r="A10" s="23" t="s">
        <v>2363</v>
      </c>
      <c r="B10" s="24" t="s">
        <v>2484</v>
      </c>
      <c r="C10" s="24" t="s">
        <v>2485</v>
      </c>
      <c r="D10" s="24">
        <v>19</v>
      </c>
      <c r="E10" s="24" t="s">
        <v>2486</v>
      </c>
    </row>
    <row r="11" spans="1:24" s="22" customFormat="1" ht="25.5" customHeight="1">
      <c r="A11" s="23" t="s">
        <v>2363</v>
      </c>
      <c r="B11" s="24" t="s">
        <v>1363</v>
      </c>
      <c r="C11" s="24" t="s">
        <v>1364</v>
      </c>
      <c r="D11" s="24">
        <v>8</v>
      </c>
      <c r="E11" s="24" t="s">
        <v>2487</v>
      </c>
    </row>
    <row r="12" spans="1:24" s="22" customFormat="1" ht="25.5" customHeight="1">
      <c r="A12" s="23" t="s">
        <v>2383</v>
      </c>
      <c r="B12" s="24" t="s">
        <v>2464</v>
      </c>
      <c r="C12" s="24" t="s">
        <v>2465</v>
      </c>
      <c r="D12" s="24">
        <v>32</v>
      </c>
      <c r="E12" s="24" t="s">
        <v>2488</v>
      </c>
    </row>
    <row r="13" spans="1:24" s="22" customFormat="1" ht="25.5" customHeight="1">
      <c r="A13" s="26" t="s">
        <v>2383</v>
      </c>
      <c r="B13" s="24" t="s">
        <v>2489</v>
      </c>
      <c r="C13" s="24" t="s">
        <v>2490</v>
      </c>
      <c r="D13" s="24">
        <v>26</v>
      </c>
      <c r="E13" s="24" t="s">
        <v>2491</v>
      </c>
    </row>
    <row r="14" spans="1:24" s="22" customFormat="1" ht="25.5" customHeight="1">
      <c r="A14" s="26" t="s">
        <v>2383</v>
      </c>
      <c r="B14" s="24" t="s">
        <v>1197</v>
      </c>
      <c r="C14" s="24" t="s">
        <v>1198</v>
      </c>
      <c r="D14" s="24">
        <v>26</v>
      </c>
      <c r="E14" s="24" t="s">
        <v>2492</v>
      </c>
    </row>
    <row r="15" spans="1:24" s="22" customFormat="1" ht="25.5" customHeight="1">
      <c r="A15" s="26" t="s">
        <v>2383</v>
      </c>
      <c r="B15" s="24" t="s">
        <v>330</v>
      </c>
      <c r="C15" s="24" t="s">
        <v>2493</v>
      </c>
      <c r="D15" s="24">
        <v>23</v>
      </c>
      <c r="E15" s="24" t="s">
        <v>2494</v>
      </c>
    </row>
    <row r="16" spans="1:24" s="22" customFormat="1" ht="25.5" customHeight="1">
      <c r="A16" s="26" t="s">
        <v>2383</v>
      </c>
      <c r="B16" s="24" t="s">
        <v>306</v>
      </c>
      <c r="C16" s="24" t="s">
        <v>2495</v>
      </c>
      <c r="D16" s="24">
        <v>27</v>
      </c>
      <c r="E16" s="24" t="s">
        <v>2496</v>
      </c>
    </row>
    <row r="17" spans="1:5" s="22" customFormat="1" ht="25.5" customHeight="1">
      <c r="A17" s="26" t="s">
        <v>2383</v>
      </c>
      <c r="B17" s="24" t="s">
        <v>2497</v>
      </c>
      <c r="C17" s="33" t="s">
        <v>2498</v>
      </c>
      <c r="D17" s="24">
        <v>21</v>
      </c>
      <c r="E17" s="24" t="s">
        <v>2499</v>
      </c>
    </row>
    <row r="18" spans="1:5" s="22" customFormat="1" ht="25.5" customHeight="1">
      <c r="A18" s="26" t="s">
        <v>2383</v>
      </c>
      <c r="B18" s="24" t="s">
        <v>934</v>
      </c>
      <c r="C18" s="24" t="s">
        <v>935</v>
      </c>
      <c r="D18" s="24">
        <v>16</v>
      </c>
      <c r="E18" s="24" t="s">
        <v>2500</v>
      </c>
    </row>
    <row r="19" spans="1:5" s="22" customFormat="1" ht="25.5" customHeight="1">
      <c r="A19" s="26" t="s">
        <v>2383</v>
      </c>
      <c r="B19" s="24" t="s">
        <v>596</v>
      </c>
      <c r="C19" s="24" t="s">
        <v>2501</v>
      </c>
      <c r="D19" s="24">
        <v>19</v>
      </c>
      <c r="E19" s="24" t="s">
        <v>2502</v>
      </c>
    </row>
    <row r="20" spans="1:5" s="22" customFormat="1" ht="25.5" customHeight="1">
      <c r="A20" s="26" t="s">
        <v>2383</v>
      </c>
      <c r="B20" s="24" t="s">
        <v>522</v>
      </c>
      <c r="C20" s="25" t="s">
        <v>523</v>
      </c>
      <c r="D20" s="24">
        <v>15</v>
      </c>
      <c r="E20" s="24" t="s">
        <v>2503</v>
      </c>
    </row>
    <row r="21" spans="1:5" s="22" customFormat="1" ht="25.5" customHeight="1">
      <c r="A21" s="26" t="s">
        <v>2383</v>
      </c>
      <c r="B21" s="24" t="s">
        <v>802</v>
      </c>
      <c r="C21" s="24" t="s">
        <v>803</v>
      </c>
      <c r="D21" s="24">
        <v>15</v>
      </c>
      <c r="E21" s="24" t="s">
        <v>2504</v>
      </c>
    </row>
    <row r="22" spans="1:5" s="22" customFormat="1" ht="25.5" customHeight="1">
      <c r="A22" s="26" t="s">
        <v>2383</v>
      </c>
      <c r="B22" s="24" t="s">
        <v>766</v>
      </c>
      <c r="C22" s="24" t="s">
        <v>767</v>
      </c>
      <c r="D22" s="24">
        <v>30</v>
      </c>
      <c r="E22" s="24" t="s">
        <v>2505</v>
      </c>
    </row>
    <row r="23" spans="1:5" s="22" customFormat="1" ht="25.5" customHeight="1">
      <c r="A23" s="27" t="s">
        <v>2406</v>
      </c>
      <c r="B23" s="24" t="s">
        <v>16</v>
      </c>
      <c r="C23" s="24" t="s">
        <v>17</v>
      </c>
      <c r="D23" s="24">
        <v>55</v>
      </c>
      <c r="E23" s="24" t="s">
        <v>2506</v>
      </c>
    </row>
    <row r="24" spans="1:5" s="22" customFormat="1" ht="25.5" customHeight="1">
      <c r="A24" s="27" t="s">
        <v>2406</v>
      </c>
      <c r="B24" s="24" t="s">
        <v>140</v>
      </c>
      <c r="C24" s="24" t="s">
        <v>141</v>
      </c>
      <c r="D24" s="24">
        <v>31</v>
      </c>
      <c r="E24" s="24" t="s">
        <v>2507</v>
      </c>
    </row>
    <row r="25" spans="1:5" s="22" customFormat="1" ht="25.5" customHeight="1">
      <c r="A25" s="27" t="s">
        <v>2406</v>
      </c>
      <c r="B25" s="24" t="s">
        <v>1137</v>
      </c>
      <c r="C25" s="24" t="s">
        <v>1138</v>
      </c>
      <c r="D25" s="24">
        <v>28</v>
      </c>
      <c r="E25" s="24" t="s">
        <v>2508</v>
      </c>
    </row>
    <row r="26" spans="1:5" s="22" customFormat="1" ht="25.5" customHeight="1">
      <c r="A26" s="27" t="s">
        <v>2406</v>
      </c>
      <c r="B26" s="24" t="s">
        <v>772</v>
      </c>
      <c r="C26" s="24" t="s">
        <v>773</v>
      </c>
      <c r="D26" s="24">
        <v>22</v>
      </c>
      <c r="E26" s="24" t="s">
        <v>2509</v>
      </c>
    </row>
    <row r="27" spans="1:5" s="22" customFormat="1" ht="25.5" customHeight="1">
      <c r="A27" s="27" t="s">
        <v>2406</v>
      </c>
      <c r="B27" s="24" t="s">
        <v>2510</v>
      </c>
      <c r="C27" s="24" t="s">
        <v>2511</v>
      </c>
      <c r="D27" s="24">
        <v>14</v>
      </c>
      <c r="E27" s="24" t="s">
        <v>2512</v>
      </c>
    </row>
    <row r="28" spans="1:5" s="22" customFormat="1" ht="25.5" customHeight="1">
      <c r="A28" s="27" t="s">
        <v>2406</v>
      </c>
      <c r="B28" s="24" t="s">
        <v>500</v>
      </c>
      <c r="C28" s="24" t="s">
        <v>2513</v>
      </c>
      <c r="D28" s="24">
        <v>15</v>
      </c>
      <c r="E28" s="24" t="s">
        <v>2514</v>
      </c>
    </row>
    <row r="29" spans="1:5" s="22" customFormat="1" ht="25.5" customHeight="1">
      <c r="A29" s="27" t="s">
        <v>2406</v>
      </c>
      <c r="B29" s="24" t="s">
        <v>812</v>
      </c>
      <c r="C29" s="24" t="s">
        <v>813</v>
      </c>
      <c r="D29" s="24">
        <v>19</v>
      </c>
      <c r="E29" s="24" t="s">
        <v>2515</v>
      </c>
    </row>
    <row r="30" spans="1:5" s="22" customFormat="1" ht="25.5" customHeight="1">
      <c r="A30" s="27" t="s">
        <v>2406</v>
      </c>
      <c r="B30" s="24" t="s">
        <v>942</v>
      </c>
      <c r="C30" s="24" t="s">
        <v>2516</v>
      </c>
      <c r="D30" s="24">
        <v>15</v>
      </c>
      <c r="E30" s="24" t="s">
        <v>2517</v>
      </c>
    </row>
    <row r="31" spans="1:5" s="22" customFormat="1" ht="25.5" customHeight="1">
      <c r="A31" s="27" t="s">
        <v>2406</v>
      </c>
      <c r="B31" s="24" t="s">
        <v>710</v>
      </c>
      <c r="C31" s="24" t="s">
        <v>711</v>
      </c>
      <c r="D31" s="24">
        <v>13</v>
      </c>
      <c r="E31" s="24" t="s">
        <v>2426</v>
      </c>
    </row>
    <row r="32" spans="1:5" s="22" customFormat="1" ht="25.5" customHeight="1">
      <c r="A32" s="27" t="s">
        <v>2406</v>
      </c>
      <c r="B32" s="24" t="s">
        <v>1353</v>
      </c>
      <c r="C32" s="24" t="s">
        <v>1354</v>
      </c>
      <c r="D32" s="24"/>
      <c r="E32" s="24" t="s">
        <v>2518</v>
      </c>
    </row>
    <row r="33" spans="1:5" s="22" customFormat="1" ht="25.5" customHeight="1">
      <c r="A33" s="27" t="s">
        <v>2406</v>
      </c>
      <c r="B33" s="24" t="s">
        <v>1519</v>
      </c>
      <c r="C33" s="24" t="s">
        <v>1520</v>
      </c>
      <c r="D33" s="24"/>
      <c r="E33" s="24" t="s">
        <v>2519</v>
      </c>
    </row>
    <row r="34" spans="1:5" s="22" customFormat="1" ht="25.5" customHeight="1">
      <c r="A34" s="27" t="s">
        <v>2406</v>
      </c>
      <c r="B34" s="24" t="s">
        <v>2520</v>
      </c>
      <c r="C34" s="24" t="s">
        <v>2521</v>
      </c>
      <c r="D34" s="24">
        <v>13</v>
      </c>
      <c r="E34" s="24" t="s">
        <v>2522</v>
      </c>
    </row>
    <row r="35" spans="1:5" s="22" customFormat="1" ht="25.5" customHeight="1">
      <c r="A35" s="27" t="s">
        <v>2406</v>
      </c>
      <c r="B35" s="24" t="s">
        <v>924</v>
      </c>
      <c r="C35" s="24" t="s">
        <v>925</v>
      </c>
      <c r="D35" s="24">
        <v>13</v>
      </c>
      <c r="E35" s="24" t="s">
        <v>2523</v>
      </c>
    </row>
    <row r="36" spans="1:5" s="22" customFormat="1" ht="25.5" customHeight="1">
      <c r="A36" s="27" t="s">
        <v>2406</v>
      </c>
      <c r="B36" s="24" t="s">
        <v>2433</v>
      </c>
      <c r="C36" s="24" t="s">
        <v>2434</v>
      </c>
      <c r="D36" s="24">
        <v>12</v>
      </c>
      <c r="E36" s="24" t="s">
        <v>2435</v>
      </c>
    </row>
    <row r="37" spans="1:5" s="22" customFormat="1" ht="25.5" customHeight="1">
      <c r="A37" s="27" t="s">
        <v>2406</v>
      </c>
      <c r="B37" s="24" t="s">
        <v>926</v>
      </c>
      <c r="C37" s="24" t="s">
        <v>927</v>
      </c>
      <c r="D37" s="24">
        <v>11</v>
      </c>
      <c r="E37" s="24" t="s">
        <v>2524</v>
      </c>
    </row>
    <row r="38" spans="1:5" s="22" customFormat="1" ht="25.5" customHeight="1">
      <c r="A38" s="27" t="s">
        <v>2406</v>
      </c>
      <c r="B38" s="24" t="s">
        <v>2525</v>
      </c>
      <c r="C38" s="24" t="s">
        <v>2526</v>
      </c>
      <c r="D38" s="24">
        <v>11</v>
      </c>
      <c r="E38" s="24" t="s">
        <v>2527</v>
      </c>
    </row>
    <row r="39" spans="1:5" s="22" customFormat="1" ht="25.5" customHeight="1">
      <c r="A39" s="27" t="s">
        <v>2406</v>
      </c>
      <c r="B39" s="24" t="s">
        <v>2528</v>
      </c>
      <c r="C39" s="24" t="s">
        <v>2529</v>
      </c>
      <c r="D39" s="24">
        <v>19</v>
      </c>
      <c r="E39" s="24" t="s">
        <v>2530</v>
      </c>
    </row>
    <row r="40" spans="1:5" s="22" customFormat="1" ht="25.5" customHeight="1">
      <c r="A40" s="27" t="s">
        <v>2406</v>
      </c>
      <c r="B40" s="24" t="s">
        <v>2531</v>
      </c>
      <c r="C40" s="24" t="s">
        <v>2532</v>
      </c>
      <c r="D40" s="24">
        <v>11</v>
      </c>
      <c r="E40" s="24" t="s">
        <v>2533</v>
      </c>
    </row>
    <row r="41" spans="1:5" s="22" customFormat="1" ht="25.5" customHeight="1">
      <c r="A41" s="27" t="s">
        <v>2406</v>
      </c>
      <c r="B41" s="24" t="s">
        <v>498</v>
      </c>
      <c r="C41" s="24" t="s">
        <v>2534</v>
      </c>
      <c r="D41" s="24">
        <v>12</v>
      </c>
      <c r="E41" s="24" t="s">
        <v>2535</v>
      </c>
    </row>
    <row r="42" spans="1:5" s="22" customFormat="1" ht="25.5" customHeight="1">
      <c r="A42" s="27" t="s">
        <v>2406</v>
      </c>
      <c r="B42" s="24" t="s">
        <v>2447</v>
      </c>
      <c r="C42" s="24" t="s">
        <v>2448</v>
      </c>
      <c r="D42" s="24">
        <v>10</v>
      </c>
      <c r="E42" s="24" t="s">
        <v>2536</v>
      </c>
    </row>
    <row r="43" spans="1:5" s="22" customFormat="1" ht="25.5" customHeight="1">
      <c r="A43" s="27" t="s">
        <v>2406</v>
      </c>
      <c r="B43" s="24" t="s">
        <v>2537</v>
      </c>
      <c r="C43" s="24" t="s">
        <v>2538</v>
      </c>
      <c r="D43" s="24">
        <v>14</v>
      </c>
      <c r="E43" s="24" t="s">
        <v>2539</v>
      </c>
    </row>
    <row r="44" spans="1:5" s="22" customFormat="1" ht="25.5" customHeight="1">
      <c r="A44" s="27" t="s">
        <v>2406</v>
      </c>
      <c r="B44" s="24" t="s">
        <v>2159</v>
      </c>
      <c r="C44" s="25" t="s">
        <v>2160</v>
      </c>
      <c r="D44" s="24">
        <v>6</v>
      </c>
      <c r="E44" s="24" t="s">
        <v>2540</v>
      </c>
    </row>
    <row r="45" spans="1:5" s="22" customFormat="1" ht="25.5" customHeight="1">
      <c r="A45" s="27" t="s">
        <v>2406</v>
      </c>
      <c r="B45" s="24" t="s">
        <v>2541</v>
      </c>
      <c r="C45" s="24" t="s">
        <v>2542</v>
      </c>
      <c r="D45" s="24">
        <v>9</v>
      </c>
      <c r="E45" s="24" t="s">
        <v>2543</v>
      </c>
    </row>
    <row r="46" spans="1:5" s="22" customFormat="1" ht="25.5" customHeight="1">
      <c r="A46" s="27" t="s">
        <v>2406</v>
      </c>
      <c r="B46" s="24" t="s">
        <v>2544</v>
      </c>
      <c r="C46" s="24" t="s">
        <v>2545</v>
      </c>
      <c r="D46" s="24">
        <v>12</v>
      </c>
      <c r="E46" s="24" t="s">
        <v>2546</v>
      </c>
    </row>
    <row r="47" spans="1:5" s="22" customFormat="1" ht="25.5" customHeight="1">
      <c r="A47" s="27" t="s">
        <v>2406</v>
      </c>
      <c r="B47" s="24" t="s">
        <v>2547</v>
      </c>
      <c r="C47" s="24" t="s">
        <v>2548</v>
      </c>
      <c r="D47" s="24">
        <v>4</v>
      </c>
      <c r="E47" s="24" t="s">
        <v>2549</v>
      </c>
    </row>
    <row r="48" spans="1:5" s="22" customFormat="1" ht="25.5" customHeight="1">
      <c r="A48" s="27" t="s">
        <v>2406</v>
      </c>
      <c r="B48" s="24" t="s">
        <v>1983</v>
      </c>
      <c r="C48" s="24" t="s">
        <v>1984</v>
      </c>
      <c r="D48" s="24"/>
      <c r="E48" s="24"/>
    </row>
    <row r="49" spans="1:5" s="22" customFormat="1" ht="25.5" customHeight="1">
      <c r="A49" s="27" t="s">
        <v>2406</v>
      </c>
      <c r="B49" s="24" t="s">
        <v>1139</v>
      </c>
      <c r="C49" s="24" t="s">
        <v>1140</v>
      </c>
      <c r="D49" s="24"/>
      <c r="E49" s="24" t="s">
        <v>2550</v>
      </c>
    </row>
    <row r="50" spans="1:5" s="22" customFormat="1" ht="25.5" customHeight="1">
      <c r="A50" s="27" t="s">
        <v>2406</v>
      </c>
      <c r="B50" s="24" t="s">
        <v>2551</v>
      </c>
      <c r="C50" s="24" t="s">
        <v>2552</v>
      </c>
      <c r="D50" s="24"/>
      <c r="E50" s="24" t="s">
        <v>2553</v>
      </c>
    </row>
    <row r="51" spans="1:5" s="22" customFormat="1" ht="25.5" customHeight="1">
      <c r="A51" s="27" t="s">
        <v>2406</v>
      </c>
      <c r="B51" s="24" t="s">
        <v>2554</v>
      </c>
      <c r="C51" s="24" t="s">
        <v>1288</v>
      </c>
      <c r="D51" s="24"/>
      <c r="E51" s="24" t="s">
        <v>2553</v>
      </c>
    </row>
    <row r="52" spans="1:5" s="22" customFormat="1" ht="25.5" customHeight="1">
      <c r="A52" s="27" t="s">
        <v>2406</v>
      </c>
      <c r="B52" s="24" t="s">
        <v>1327</v>
      </c>
      <c r="C52" s="24" t="s">
        <v>1328</v>
      </c>
      <c r="D52" s="24"/>
      <c r="E52" s="24" t="s">
        <v>2555</v>
      </c>
    </row>
    <row r="53" spans="1:5" s="22" customFormat="1" ht="25.5" customHeight="1">
      <c r="A53" s="27" t="s">
        <v>2406</v>
      </c>
      <c r="B53" s="24" t="s">
        <v>1659</v>
      </c>
      <c r="C53" s="24" t="s">
        <v>2556</v>
      </c>
      <c r="D53" s="24"/>
      <c r="E53" s="24" t="s">
        <v>2557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0"/>
  <sheetViews>
    <sheetView showGridLines="0" zoomScaleNormal="100" workbookViewId="0">
      <pane ySplit="1" topLeftCell="A2" activePane="bottomLeft" state="frozen"/>
      <selection activeCell="C34" sqref="C34"/>
      <selection pane="bottomLeft" activeCell="C34" sqref="C34"/>
    </sheetView>
  </sheetViews>
  <sheetFormatPr defaultColWidth="12.5703125" defaultRowHeight="25.5" customHeight="1"/>
  <cols>
    <col min="1" max="1" width="16.140625" style="22" bestFit="1" customWidth="1"/>
    <col min="2" max="2" width="17.28515625" style="22" bestFit="1" customWidth="1"/>
    <col min="3" max="3" width="88.5703125" style="22" bestFit="1" customWidth="1"/>
    <col min="4" max="4" width="4.42578125" style="22" bestFit="1" customWidth="1"/>
    <col min="5" max="5" width="145.28515625" style="22" bestFit="1" customWidth="1"/>
    <col min="6" max="16384" width="12.5703125" style="22"/>
  </cols>
  <sheetData>
    <row r="1" spans="1:25" ht="25.5" customHeight="1">
      <c r="A1" s="16" t="s">
        <v>2359</v>
      </c>
      <c r="B1" s="16" t="s">
        <v>0</v>
      </c>
      <c r="C1" s="16" t="s">
        <v>2360</v>
      </c>
      <c r="D1" s="16" t="s">
        <v>2361</v>
      </c>
      <c r="E1" s="16" t="s">
        <v>2362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25.5" customHeight="1">
      <c r="A2" s="23" t="s">
        <v>2363</v>
      </c>
      <c r="B2" s="24" t="s">
        <v>38</v>
      </c>
      <c r="C2" s="24" t="s">
        <v>39</v>
      </c>
      <c r="D2" s="24">
        <v>188</v>
      </c>
      <c r="E2" s="24" t="s">
        <v>2558</v>
      </c>
    </row>
    <row r="3" spans="1:25" ht="25.5" customHeight="1">
      <c r="A3" s="23" t="s">
        <v>2363</v>
      </c>
      <c r="B3" s="24" t="s">
        <v>2559</v>
      </c>
      <c r="C3" s="24" t="s">
        <v>2560</v>
      </c>
      <c r="D3" s="24">
        <v>124</v>
      </c>
      <c r="E3" s="24" t="s">
        <v>2561</v>
      </c>
    </row>
    <row r="4" spans="1:25" ht="25.5" customHeight="1">
      <c r="A4" s="23" t="s">
        <v>2363</v>
      </c>
      <c r="B4" s="24" t="s">
        <v>46</v>
      </c>
      <c r="C4" s="24" t="s">
        <v>47</v>
      </c>
      <c r="D4" s="24">
        <v>104</v>
      </c>
      <c r="E4" s="24" t="s">
        <v>2562</v>
      </c>
    </row>
    <row r="5" spans="1:25" ht="25.5" customHeight="1">
      <c r="A5" s="23" t="s">
        <v>2363</v>
      </c>
      <c r="B5" s="24" t="s">
        <v>434</v>
      </c>
      <c r="C5" s="24" t="s">
        <v>2563</v>
      </c>
      <c r="D5" s="24">
        <v>79</v>
      </c>
      <c r="E5" s="24" t="s">
        <v>2564</v>
      </c>
    </row>
    <row r="6" spans="1:25" ht="25.5" customHeight="1">
      <c r="A6" s="23" t="s">
        <v>2363</v>
      </c>
      <c r="B6" s="25" t="s">
        <v>2565</v>
      </c>
      <c r="C6" s="25" t="s">
        <v>2566</v>
      </c>
      <c r="D6" s="25">
        <v>79</v>
      </c>
      <c r="E6" s="25" t="s">
        <v>2564</v>
      </c>
    </row>
    <row r="7" spans="1:25" ht="25.5" customHeight="1">
      <c r="A7" s="23" t="s">
        <v>2363</v>
      </c>
      <c r="B7" s="25" t="s">
        <v>84</v>
      </c>
      <c r="C7" s="25" t="s">
        <v>2567</v>
      </c>
      <c r="D7" s="25">
        <v>86</v>
      </c>
      <c r="E7" s="25" t="s">
        <v>2568</v>
      </c>
    </row>
    <row r="8" spans="1:25" ht="25.5" customHeight="1">
      <c r="A8" s="23" t="s">
        <v>2363</v>
      </c>
      <c r="B8" s="24" t="s">
        <v>2569</v>
      </c>
      <c r="C8" s="24" t="s">
        <v>2570</v>
      </c>
      <c r="D8" s="24">
        <v>65</v>
      </c>
      <c r="E8" s="24" t="s">
        <v>2571</v>
      </c>
    </row>
    <row r="9" spans="1:25" ht="25.5" customHeight="1">
      <c r="A9" s="23" t="s">
        <v>2363</v>
      </c>
      <c r="B9" s="24" t="s">
        <v>1747</v>
      </c>
      <c r="C9" s="25" t="s">
        <v>2572</v>
      </c>
      <c r="D9" s="25">
        <v>47</v>
      </c>
      <c r="E9" s="25" t="s">
        <v>2573</v>
      </c>
    </row>
    <row r="10" spans="1:25" ht="25.5" customHeight="1">
      <c r="A10" s="23" t="s">
        <v>2363</v>
      </c>
      <c r="B10" s="24" t="s">
        <v>2574</v>
      </c>
      <c r="C10" s="24" t="s">
        <v>2575</v>
      </c>
      <c r="D10" s="24">
        <v>46</v>
      </c>
      <c r="E10" s="24" t="s">
        <v>2576</v>
      </c>
    </row>
    <row r="11" spans="1:25" ht="25.5" customHeight="1">
      <c r="A11" s="23" t="s">
        <v>2363</v>
      </c>
      <c r="B11" s="25" t="s">
        <v>2577</v>
      </c>
      <c r="C11" s="25" t="s">
        <v>2578</v>
      </c>
      <c r="D11" s="25">
        <v>46</v>
      </c>
      <c r="E11" s="25" t="s">
        <v>2576</v>
      </c>
    </row>
    <row r="12" spans="1:25" ht="25.5" customHeight="1">
      <c r="A12" s="23" t="s">
        <v>2363</v>
      </c>
      <c r="B12" s="25" t="s">
        <v>2579</v>
      </c>
      <c r="C12" s="25" t="s">
        <v>2580</v>
      </c>
      <c r="D12" s="25">
        <v>46</v>
      </c>
      <c r="E12" s="25" t="s">
        <v>2576</v>
      </c>
    </row>
    <row r="13" spans="1:25" ht="25.5" customHeight="1">
      <c r="A13" s="23" t="s">
        <v>2363</v>
      </c>
      <c r="B13" s="25" t="s">
        <v>18</v>
      </c>
      <c r="C13" s="25" t="s">
        <v>19</v>
      </c>
      <c r="D13" s="25">
        <v>42</v>
      </c>
      <c r="E13" s="24" t="s">
        <v>2581</v>
      </c>
    </row>
    <row r="14" spans="1:25" ht="25.5" customHeight="1">
      <c r="A14" s="23" t="s">
        <v>2363</v>
      </c>
      <c r="B14" s="24" t="s">
        <v>156</v>
      </c>
      <c r="C14" s="24" t="s">
        <v>2582</v>
      </c>
      <c r="D14" s="24">
        <v>41</v>
      </c>
      <c r="E14" s="24" t="s">
        <v>2583</v>
      </c>
    </row>
    <row r="15" spans="1:25" ht="25.5" customHeight="1">
      <c r="A15" s="23" t="s">
        <v>2363</v>
      </c>
      <c r="B15" s="24" t="s">
        <v>100</v>
      </c>
      <c r="C15" s="24" t="s">
        <v>101</v>
      </c>
      <c r="D15" s="24">
        <v>52</v>
      </c>
      <c r="E15" s="24" t="s">
        <v>2584</v>
      </c>
    </row>
    <row r="16" spans="1:25" ht="25.5" customHeight="1">
      <c r="A16" s="23" t="s">
        <v>2363</v>
      </c>
      <c r="B16" s="24" t="s">
        <v>210</v>
      </c>
      <c r="C16" s="24" t="s">
        <v>2585</v>
      </c>
      <c r="D16" s="24">
        <v>38</v>
      </c>
      <c r="E16" s="24" t="s">
        <v>2586</v>
      </c>
    </row>
    <row r="17" spans="1:5" ht="25.5" customHeight="1">
      <c r="A17" s="23" t="s">
        <v>2363</v>
      </c>
      <c r="B17" s="24" t="s">
        <v>1153</v>
      </c>
      <c r="C17" s="24" t="s">
        <v>2587</v>
      </c>
      <c r="D17" s="24">
        <v>36</v>
      </c>
      <c r="E17" s="24" t="s">
        <v>2588</v>
      </c>
    </row>
    <row r="18" spans="1:5" ht="25.5" customHeight="1">
      <c r="A18" s="23" t="s">
        <v>2363</v>
      </c>
      <c r="B18" s="24" t="s">
        <v>92</v>
      </c>
      <c r="C18" s="24" t="s">
        <v>93</v>
      </c>
      <c r="D18" s="24">
        <v>33</v>
      </c>
      <c r="E18" s="24" t="s">
        <v>2589</v>
      </c>
    </row>
    <row r="19" spans="1:5" ht="25.5" customHeight="1">
      <c r="A19" s="23" t="s">
        <v>2363</v>
      </c>
      <c r="B19" s="24" t="s">
        <v>2590</v>
      </c>
      <c r="C19" s="24" t="s">
        <v>2591</v>
      </c>
      <c r="D19" s="24">
        <v>30</v>
      </c>
      <c r="E19" s="24" t="s">
        <v>2592</v>
      </c>
    </row>
    <row r="20" spans="1:5" ht="25.5" customHeight="1">
      <c r="A20" s="23" t="s">
        <v>2363</v>
      </c>
      <c r="B20" s="24" t="s">
        <v>342</v>
      </c>
      <c r="C20" s="24" t="s">
        <v>343</v>
      </c>
      <c r="D20" s="24">
        <v>28</v>
      </c>
      <c r="E20" s="24" t="s">
        <v>2593</v>
      </c>
    </row>
    <row r="21" spans="1:5" ht="25.5" customHeight="1">
      <c r="A21" s="23" t="s">
        <v>2363</v>
      </c>
      <c r="B21" s="24" t="s">
        <v>2594</v>
      </c>
      <c r="C21" s="24" t="s">
        <v>2595</v>
      </c>
      <c r="D21" s="24">
        <v>23</v>
      </c>
      <c r="E21" s="24" t="s">
        <v>2596</v>
      </c>
    </row>
    <row r="22" spans="1:5" ht="25.5" customHeight="1">
      <c r="A22" s="23" t="s">
        <v>2363</v>
      </c>
      <c r="B22" s="25" t="s">
        <v>326</v>
      </c>
      <c r="C22" s="25" t="s">
        <v>2597</v>
      </c>
      <c r="D22" s="25">
        <v>28</v>
      </c>
      <c r="E22" s="25" t="s">
        <v>2598</v>
      </c>
    </row>
    <row r="23" spans="1:5" ht="25.5" customHeight="1">
      <c r="A23" s="26" t="s">
        <v>2383</v>
      </c>
      <c r="B23" s="24" t="s">
        <v>2599</v>
      </c>
      <c r="C23" s="24" t="s">
        <v>2600</v>
      </c>
      <c r="D23" s="24">
        <v>25</v>
      </c>
      <c r="E23" s="24" t="s">
        <v>2601</v>
      </c>
    </row>
    <row r="24" spans="1:5" ht="25.5" customHeight="1">
      <c r="A24" s="26" t="s">
        <v>2383</v>
      </c>
      <c r="B24" s="24" t="s">
        <v>234</v>
      </c>
      <c r="C24" s="24" t="s">
        <v>2602</v>
      </c>
      <c r="D24" s="24">
        <v>24</v>
      </c>
      <c r="E24" s="24" t="s">
        <v>2603</v>
      </c>
    </row>
    <row r="25" spans="1:5" ht="25.5" customHeight="1">
      <c r="A25" s="26" t="s">
        <v>2383</v>
      </c>
      <c r="B25" s="24" t="s">
        <v>2604</v>
      </c>
      <c r="C25" s="24" t="s">
        <v>2605</v>
      </c>
      <c r="D25" s="24">
        <v>24</v>
      </c>
      <c r="E25" s="24" t="s">
        <v>2606</v>
      </c>
    </row>
    <row r="26" spans="1:5" ht="25.5" customHeight="1">
      <c r="A26" s="26" t="s">
        <v>2383</v>
      </c>
      <c r="B26" s="24" t="s">
        <v>302</v>
      </c>
      <c r="C26" s="24" t="s">
        <v>303</v>
      </c>
      <c r="D26" s="24">
        <v>23</v>
      </c>
      <c r="E26" s="24" t="s">
        <v>2607</v>
      </c>
    </row>
    <row r="27" spans="1:5" ht="25.5" customHeight="1">
      <c r="A27" s="26" t="s">
        <v>2383</v>
      </c>
      <c r="B27" s="24" t="s">
        <v>408</v>
      </c>
      <c r="C27" s="24" t="s">
        <v>409</v>
      </c>
      <c r="D27" s="24">
        <v>21</v>
      </c>
      <c r="E27" s="24" t="s">
        <v>2608</v>
      </c>
    </row>
    <row r="28" spans="1:5" ht="25.5" customHeight="1">
      <c r="A28" s="26" t="s">
        <v>2383</v>
      </c>
      <c r="B28" s="25" t="s">
        <v>998</v>
      </c>
      <c r="C28" s="25" t="s">
        <v>999</v>
      </c>
      <c r="D28" s="25">
        <v>21</v>
      </c>
      <c r="E28" s="25" t="s">
        <v>2609</v>
      </c>
    </row>
    <row r="29" spans="1:5" ht="25.5" customHeight="1">
      <c r="A29" s="26" t="s">
        <v>2383</v>
      </c>
      <c r="B29" s="24" t="s">
        <v>230</v>
      </c>
      <c r="C29" s="24" t="s">
        <v>2610</v>
      </c>
      <c r="D29" s="24">
        <v>21</v>
      </c>
      <c r="E29" s="24" t="s">
        <v>2611</v>
      </c>
    </row>
    <row r="30" spans="1:5" ht="25.5" customHeight="1">
      <c r="A30" s="26" t="s">
        <v>2383</v>
      </c>
      <c r="B30" s="24" t="s">
        <v>822</v>
      </c>
      <c r="C30" s="24" t="s">
        <v>2612</v>
      </c>
      <c r="D30" s="24">
        <v>17</v>
      </c>
      <c r="E30" s="24" t="s">
        <v>2613</v>
      </c>
    </row>
    <row r="31" spans="1:5" ht="25.5" customHeight="1">
      <c r="A31" s="26" t="s">
        <v>2383</v>
      </c>
      <c r="B31" s="25" t="s">
        <v>718</v>
      </c>
      <c r="C31" s="25" t="s">
        <v>719</v>
      </c>
      <c r="D31" s="25">
        <v>24</v>
      </c>
      <c r="E31" s="25" t="s">
        <v>2614</v>
      </c>
    </row>
    <row r="32" spans="1:5" ht="25.5" customHeight="1">
      <c r="A32" s="26" t="s">
        <v>2383</v>
      </c>
      <c r="B32" s="24" t="s">
        <v>454</v>
      </c>
      <c r="C32" s="24" t="s">
        <v>2615</v>
      </c>
      <c r="D32" s="24">
        <v>19</v>
      </c>
      <c r="E32" s="24" t="s">
        <v>2616</v>
      </c>
    </row>
    <row r="33" spans="1:5" ht="25.5" customHeight="1">
      <c r="A33" s="26" t="s">
        <v>2383</v>
      </c>
      <c r="B33" s="24" t="s">
        <v>810</v>
      </c>
      <c r="C33" s="24" t="s">
        <v>811</v>
      </c>
      <c r="D33" s="24">
        <v>16</v>
      </c>
      <c r="E33" s="24" t="s">
        <v>2617</v>
      </c>
    </row>
    <row r="34" spans="1:5" ht="25.5" customHeight="1">
      <c r="A34" s="26" t="s">
        <v>2383</v>
      </c>
      <c r="B34" s="24" t="s">
        <v>960</v>
      </c>
      <c r="C34" s="24" t="s">
        <v>2618</v>
      </c>
      <c r="D34" s="24">
        <v>15</v>
      </c>
      <c r="E34" s="24" t="s">
        <v>2619</v>
      </c>
    </row>
    <row r="35" spans="1:5" ht="25.5" customHeight="1">
      <c r="A35" s="26" t="s">
        <v>2383</v>
      </c>
      <c r="B35" s="24" t="s">
        <v>796</v>
      </c>
      <c r="C35" s="24" t="s">
        <v>797</v>
      </c>
      <c r="D35" s="24">
        <v>13</v>
      </c>
      <c r="E35" s="24" t="s">
        <v>2620</v>
      </c>
    </row>
    <row r="36" spans="1:5" ht="25.5" customHeight="1">
      <c r="A36" s="26" t="s">
        <v>2383</v>
      </c>
      <c r="B36" s="24" t="s">
        <v>2621</v>
      </c>
      <c r="C36" s="24" t="s">
        <v>2622</v>
      </c>
      <c r="D36" s="24">
        <v>14</v>
      </c>
      <c r="E36" s="24" t="s">
        <v>2623</v>
      </c>
    </row>
    <row r="37" spans="1:5" ht="25.5" customHeight="1">
      <c r="A37" s="26" t="s">
        <v>2383</v>
      </c>
      <c r="B37" s="24" t="s">
        <v>514</v>
      </c>
      <c r="C37" s="24" t="s">
        <v>515</v>
      </c>
      <c r="D37" s="24">
        <v>13</v>
      </c>
      <c r="E37" s="24" t="s">
        <v>2624</v>
      </c>
    </row>
    <row r="38" spans="1:5" ht="25.5" customHeight="1">
      <c r="A38" s="26" t="s">
        <v>2383</v>
      </c>
      <c r="B38" s="24" t="s">
        <v>546</v>
      </c>
      <c r="C38" s="24" t="s">
        <v>547</v>
      </c>
      <c r="D38" s="24">
        <v>10</v>
      </c>
      <c r="E38" s="24" t="s">
        <v>2625</v>
      </c>
    </row>
    <row r="39" spans="1:5" ht="25.5" customHeight="1">
      <c r="A39" s="26" t="s">
        <v>2383</v>
      </c>
      <c r="B39" s="24" t="s">
        <v>830</v>
      </c>
      <c r="C39" s="24" t="s">
        <v>831</v>
      </c>
      <c r="D39" s="24">
        <v>11</v>
      </c>
      <c r="E39" s="24" t="s">
        <v>2626</v>
      </c>
    </row>
    <row r="40" spans="1:5" ht="25.5" customHeight="1">
      <c r="A40" s="26" t="s">
        <v>2383</v>
      </c>
      <c r="B40" s="24" t="s">
        <v>2627</v>
      </c>
      <c r="C40" s="24" t="s">
        <v>2628</v>
      </c>
      <c r="D40" s="24">
        <v>11</v>
      </c>
      <c r="E40" s="24" t="s">
        <v>2629</v>
      </c>
    </row>
    <row r="41" spans="1:5" ht="25.5" customHeight="1">
      <c r="A41" s="26" t="s">
        <v>2383</v>
      </c>
      <c r="B41" s="24" t="s">
        <v>2630</v>
      </c>
      <c r="C41" s="24" t="s">
        <v>2631</v>
      </c>
      <c r="D41" s="24">
        <v>7</v>
      </c>
      <c r="E41" s="24" t="s">
        <v>2632</v>
      </c>
    </row>
    <row r="42" spans="1:5" ht="25.5" customHeight="1">
      <c r="A42" s="26" t="s">
        <v>2383</v>
      </c>
      <c r="B42" s="24" t="s">
        <v>1087</v>
      </c>
      <c r="C42" s="24" t="s">
        <v>1088</v>
      </c>
      <c r="D42" s="24">
        <v>8</v>
      </c>
      <c r="E42" s="24" t="s">
        <v>2633</v>
      </c>
    </row>
    <row r="43" spans="1:5" ht="25.5" customHeight="1">
      <c r="A43" s="27" t="s">
        <v>2406</v>
      </c>
      <c r="B43" s="24" t="s">
        <v>2634</v>
      </c>
      <c r="C43" s="24" t="s">
        <v>2635</v>
      </c>
      <c r="D43" s="24">
        <v>134</v>
      </c>
      <c r="E43" s="24" t="s">
        <v>2636</v>
      </c>
    </row>
    <row r="44" spans="1:5" ht="25.5" customHeight="1">
      <c r="A44" s="27" t="s">
        <v>2406</v>
      </c>
      <c r="B44" s="24" t="s">
        <v>104</v>
      </c>
      <c r="C44" s="24" t="s">
        <v>105</v>
      </c>
      <c r="D44" s="24">
        <v>113</v>
      </c>
      <c r="E44" s="24" t="s">
        <v>2637</v>
      </c>
    </row>
    <row r="45" spans="1:5" ht="25.5" customHeight="1">
      <c r="A45" s="27" t="s">
        <v>2406</v>
      </c>
      <c r="B45" s="24" t="s">
        <v>112</v>
      </c>
      <c r="C45" s="24" t="s">
        <v>113</v>
      </c>
      <c r="D45" s="24">
        <v>82</v>
      </c>
      <c r="E45" s="24" t="s">
        <v>2638</v>
      </c>
    </row>
    <row r="46" spans="1:5" ht="25.5" customHeight="1">
      <c r="A46" s="27" t="s">
        <v>2406</v>
      </c>
      <c r="B46" s="24" t="s">
        <v>2</v>
      </c>
      <c r="C46" s="24" t="s">
        <v>3</v>
      </c>
      <c r="D46" s="24">
        <v>69</v>
      </c>
      <c r="E46" s="24" t="s">
        <v>2639</v>
      </c>
    </row>
    <row r="47" spans="1:5" ht="25.5" customHeight="1">
      <c r="A47" s="27" t="s">
        <v>2406</v>
      </c>
      <c r="B47" s="24" t="s">
        <v>24</v>
      </c>
      <c r="C47" s="24" t="s">
        <v>25</v>
      </c>
      <c r="D47" s="24">
        <v>66</v>
      </c>
      <c r="E47" s="24" t="s">
        <v>2640</v>
      </c>
    </row>
    <row r="48" spans="1:5" ht="25.5" customHeight="1">
      <c r="A48" s="27" t="s">
        <v>2406</v>
      </c>
      <c r="B48" s="24" t="s">
        <v>122</v>
      </c>
      <c r="C48" s="24" t="s">
        <v>123</v>
      </c>
      <c r="D48" s="24">
        <v>61</v>
      </c>
      <c r="E48" s="24" t="s">
        <v>2641</v>
      </c>
    </row>
    <row r="49" spans="1:5" ht="25.5" customHeight="1">
      <c r="A49" s="27" t="s">
        <v>2406</v>
      </c>
      <c r="B49" s="24" t="s">
        <v>130</v>
      </c>
      <c r="C49" s="24" t="s">
        <v>131</v>
      </c>
      <c r="D49" s="24">
        <v>56</v>
      </c>
      <c r="E49" s="24" t="s">
        <v>2642</v>
      </c>
    </row>
    <row r="50" spans="1:5" ht="25.5" customHeight="1">
      <c r="A50" s="27" t="s">
        <v>2406</v>
      </c>
      <c r="B50" s="24" t="s">
        <v>136</v>
      </c>
      <c r="C50" s="24" t="s">
        <v>137</v>
      </c>
      <c r="D50" s="24">
        <v>54</v>
      </c>
      <c r="E50" s="24" t="s">
        <v>2643</v>
      </c>
    </row>
    <row r="51" spans="1:5" ht="25.5" customHeight="1">
      <c r="A51" s="27" t="s">
        <v>2406</v>
      </c>
      <c r="B51" s="24" t="s">
        <v>2644</v>
      </c>
      <c r="C51" s="24" t="s">
        <v>2645</v>
      </c>
      <c r="D51" s="24">
        <v>49</v>
      </c>
      <c r="E51" s="24" t="s">
        <v>2646</v>
      </c>
    </row>
    <row r="52" spans="1:5" ht="25.5" customHeight="1">
      <c r="A52" s="27" t="s">
        <v>2406</v>
      </c>
      <c r="B52" s="24" t="s">
        <v>2647</v>
      </c>
      <c r="C52" s="24" t="s">
        <v>2648</v>
      </c>
      <c r="D52" s="24">
        <v>46</v>
      </c>
      <c r="E52" s="24" t="s">
        <v>2576</v>
      </c>
    </row>
    <row r="53" spans="1:5" ht="25.5" customHeight="1">
      <c r="A53" s="27" t="s">
        <v>2406</v>
      </c>
      <c r="B53" s="24" t="s">
        <v>1012</v>
      </c>
      <c r="C53" s="24" t="s">
        <v>2649</v>
      </c>
      <c r="D53" s="24">
        <v>44</v>
      </c>
      <c r="E53" s="24" t="s">
        <v>2650</v>
      </c>
    </row>
    <row r="54" spans="1:5" ht="25.5" customHeight="1">
      <c r="A54" s="27" t="s">
        <v>2406</v>
      </c>
      <c r="B54" s="24" t="s">
        <v>68</v>
      </c>
      <c r="C54" s="24" t="s">
        <v>2651</v>
      </c>
      <c r="D54" s="24">
        <v>33</v>
      </c>
      <c r="E54" s="24" t="s">
        <v>2652</v>
      </c>
    </row>
    <row r="55" spans="1:5" ht="25.5" customHeight="1">
      <c r="A55" s="27" t="s">
        <v>2406</v>
      </c>
      <c r="B55" s="24" t="s">
        <v>124</v>
      </c>
      <c r="C55" s="24" t="s">
        <v>2653</v>
      </c>
      <c r="D55" s="24">
        <v>32</v>
      </c>
      <c r="E55" s="24" t="s">
        <v>2654</v>
      </c>
    </row>
    <row r="56" spans="1:5" ht="25.5" customHeight="1">
      <c r="A56" s="27" t="s">
        <v>2406</v>
      </c>
      <c r="B56" s="24" t="s">
        <v>1265</v>
      </c>
      <c r="C56" s="24" t="s">
        <v>2655</v>
      </c>
      <c r="D56" s="24">
        <v>32</v>
      </c>
      <c r="E56" s="24" t="s">
        <v>2656</v>
      </c>
    </row>
    <row r="57" spans="1:5" ht="25.5" customHeight="1">
      <c r="A57" s="27" t="s">
        <v>2406</v>
      </c>
      <c r="B57" s="24" t="s">
        <v>106</v>
      </c>
      <c r="C57" s="24" t="s">
        <v>107</v>
      </c>
      <c r="D57" s="24">
        <v>30</v>
      </c>
      <c r="E57" s="24" t="s">
        <v>2657</v>
      </c>
    </row>
    <row r="58" spans="1:5" ht="25.5" customHeight="1">
      <c r="A58" s="27" t="s">
        <v>2406</v>
      </c>
      <c r="B58" s="24" t="s">
        <v>618</v>
      </c>
      <c r="C58" s="24" t="s">
        <v>619</v>
      </c>
      <c r="D58" s="24">
        <v>31</v>
      </c>
      <c r="E58" s="24" t="s">
        <v>2658</v>
      </c>
    </row>
    <row r="59" spans="1:5" ht="25.5" customHeight="1">
      <c r="A59" s="27" t="s">
        <v>2406</v>
      </c>
      <c r="B59" s="24" t="s">
        <v>334</v>
      </c>
      <c r="C59" s="24" t="s">
        <v>335</v>
      </c>
      <c r="D59" s="24">
        <v>30</v>
      </c>
      <c r="E59" s="24" t="s">
        <v>2659</v>
      </c>
    </row>
    <row r="60" spans="1:5" ht="25.5" customHeight="1">
      <c r="A60" s="27" t="s">
        <v>2406</v>
      </c>
      <c r="B60" s="24" t="s">
        <v>1233</v>
      </c>
      <c r="C60" s="24" t="s">
        <v>1234</v>
      </c>
      <c r="D60" s="24">
        <v>21</v>
      </c>
      <c r="E60" s="24" t="s">
        <v>2660</v>
      </c>
    </row>
    <row r="61" spans="1:5" ht="25.5" customHeight="1">
      <c r="A61" s="27" t="s">
        <v>2406</v>
      </c>
      <c r="B61" s="24" t="s">
        <v>320</v>
      </c>
      <c r="C61" s="24" t="s">
        <v>321</v>
      </c>
      <c r="D61" s="24">
        <v>15</v>
      </c>
      <c r="E61" s="24" t="s">
        <v>2661</v>
      </c>
    </row>
    <row r="62" spans="1:5" ht="25.5" customHeight="1">
      <c r="A62" s="27" t="s">
        <v>2406</v>
      </c>
      <c r="B62" s="24" t="s">
        <v>626</v>
      </c>
      <c r="C62" s="24" t="s">
        <v>2662</v>
      </c>
      <c r="D62" s="24">
        <v>14</v>
      </c>
      <c r="E62" s="24" t="s">
        <v>2663</v>
      </c>
    </row>
    <row r="63" spans="1:5" ht="25.5" customHeight="1">
      <c r="A63" s="27" t="s">
        <v>2406</v>
      </c>
      <c r="B63" s="24" t="s">
        <v>2664</v>
      </c>
      <c r="C63" s="24" t="s">
        <v>2665</v>
      </c>
      <c r="D63" s="24">
        <v>13</v>
      </c>
      <c r="E63" s="24" t="s">
        <v>2666</v>
      </c>
    </row>
    <row r="64" spans="1:5" ht="25.5" customHeight="1">
      <c r="A64" s="27" t="s">
        <v>2406</v>
      </c>
      <c r="B64" s="24" t="s">
        <v>528</v>
      </c>
      <c r="C64" s="24" t="s">
        <v>529</v>
      </c>
      <c r="D64" s="24">
        <v>15</v>
      </c>
      <c r="E64" s="24" t="s">
        <v>2667</v>
      </c>
    </row>
    <row r="65" spans="1:5" ht="25.5" customHeight="1">
      <c r="A65" s="27" t="s">
        <v>2406</v>
      </c>
      <c r="B65" s="24" t="s">
        <v>848</v>
      </c>
      <c r="C65" s="24" t="s">
        <v>849</v>
      </c>
      <c r="D65" s="24">
        <v>13</v>
      </c>
      <c r="E65" s="24" t="s">
        <v>2668</v>
      </c>
    </row>
    <row r="66" spans="1:5" ht="25.5" customHeight="1">
      <c r="A66" s="27" t="s">
        <v>2406</v>
      </c>
      <c r="B66" s="24" t="s">
        <v>2669</v>
      </c>
      <c r="C66" s="24" t="s">
        <v>2670</v>
      </c>
      <c r="D66" s="24">
        <v>203</v>
      </c>
      <c r="E66" s="24" t="s">
        <v>2671</v>
      </c>
    </row>
    <row r="67" spans="1:5" ht="25.5" customHeight="1">
      <c r="A67" s="27" t="s">
        <v>2406</v>
      </c>
      <c r="B67" s="24" t="s">
        <v>478</v>
      </c>
      <c r="C67" s="24" t="s">
        <v>479</v>
      </c>
      <c r="D67" s="24">
        <v>12</v>
      </c>
      <c r="E67" s="24" t="s">
        <v>2672</v>
      </c>
    </row>
    <row r="68" spans="1:5" ht="25.5" customHeight="1">
      <c r="A68" s="27" t="s">
        <v>2406</v>
      </c>
      <c r="B68" s="24" t="s">
        <v>850</v>
      </c>
      <c r="C68" s="24" t="s">
        <v>2673</v>
      </c>
      <c r="D68" s="24">
        <v>11</v>
      </c>
      <c r="E68" s="24" t="s">
        <v>2674</v>
      </c>
    </row>
    <row r="69" spans="1:5" ht="25.5" customHeight="1">
      <c r="A69" s="27" t="s">
        <v>2406</v>
      </c>
      <c r="B69" s="24" t="s">
        <v>2675</v>
      </c>
      <c r="C69" s="24" t="s">
        <v>2676</v>
      </c>
      <c r="D69" s="24">
        <v>14</v>
      </c>
      <c r="E69" s="24" t="s">
        <v>2677</v>
      </c>
    </row>
    <row r="70" spans="1:5" ht="25.5" customHeight="1">
      <c r="A70" s="27" t="s">
        <v>2406</v>
      </c>
      <c r="B70" s="24" t="s">
        <v>1441</v>
      </c>
      <c r="C70" s="24" t="s">
        <v>1442</v>
      </c>
      <c r="D70" s="24">
        <v>17</v>
      </c>
      <c r="E70" s="24" t="s">
        <v>2678</v>
      </c>
    </row>
    <row r="71" spans="1:5" ht="25.5" customHeight="1">
      <c r="A71" s="27" t="s">
        <v>2406</v>
      </c>
      <c r="B71" s="24" t="s">
        <v>2357</v>
      </c>
      <c r="C71" s="24" t="s">
        <v>2358</v>
      </c>
      <c r="D71" s="24"/>
      <c r="E71" s="24"/>
    </row>
    <row r="73" spans="1:5" ht="25.5" customHeight="1">
      <c r="C73" s="21"/>
    </row>
    <row r="77" spans="1:5" ht="25.5" customHeight="1">
      <c r="C77" s="37"/>
    </row>
    <row r="78" spans="1:5" ht="25.5" customHeight="1">
      <c r="C78" s="37"/>
    </row>
    <row r="79" spans="1:5" ht="25.5" customHeight="1">
      <c r="C79" s="37"/>
    </row>
    <row r="80" spans="1:5" ht="25.5" customHeight="1">
      <c r="C80" s="3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25"/>
  <sheetViews>
    <sheetView showGridLines="0" zoomScaleNormal="100" workbookViewId="0">
      <pane ySplit="1" topLeftCell="A2" activePane="bottomLeft" state="frozen"/>
      <selection activeCell="C34" sqref="C34"/>
      <selection pane="bottomLeft" activeCell="C34" sqref="C34"/>
    </sheetView>
  </sheetViews>
  <sheetFormatPr defaultColWidth="12.5703125" defaultRowHeight="25.5" customHeight="1"/>
  <cols>
    <col min="1" max="1" width="16.140625" style="18" bestFit="1" customWidth="1"/>
    <col min="2" max="2" width="16.85546875" style="18" bestFit="1" customWidth="1"/>
    <col min="3" max="3" width="110.28515625" style="18" bestFit="1" customWidth="1"/>
    <col min="4" max="4" width="4.140625" style="18" bestFit="1" customWidth="1"/>
    <col min="5" max="5" width="143.5703125" style="18" bestFit="1" customWidth="1"/>
    <col min="6" max="16384" width="12.5703125" style="18"/>
  </cols>
  <sheetData>
    <row r="1" spans="1:25" s="20" customFormat="1" ht="25.5" customHeight="1">
      <c r="A1" s="16" t="s">
        <v>2359</v>
      </c>
      <c r="B1" s="16" t="s">
        <v>0</v>
      </c>
      <c r="C1" s="16" t="s">
        <v>2360</v>
      </c>
      <c r="D1" s="16" t="s">
        <v>2361</v>
      </c>
      <c r="E1" s="16" t="s">
        <v>2362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5.5" customHeight="1">
      <c r="A2" s="23" t="s">
        <v>2363</v>
      </c>
      <c r="B2" s="24" t="s">
        <v>128</v>
      </c>
      <c r="C2" s="24" t="s">
        <v>129</v>
      </c>
      <c r="D2" s="24">
        <v>76</v>
      </c>
      <c r="E2" s="24" t="s">
        <v>2679</v>
      </c>
    </row>
    <row r="3" spans="1:25" ht="25.5" customHeight="1">
      <c r="A3" s="23" t="s">
        <v>2363</v>
      </c>
      <c r="B3" s="24" t="s">
        <v>190</v>
      </c>
      <c r="C3" s="24" t="s">
        <v>191</v>
      </c>
      <c r="D3" s="24">
        <v>72</v>
      </c>
      <c r="E3" s="24" t="s">
        <v>2680</v>
      </c>
    </row>
    <row r="4" spans="1:25" ht="25.5" customHeight="1">
      <c r="A4" s="23" t="s">
        <v>2363</v>
      </c>
      <c r="B4" s="24" t="s">
        <v>164</v>
      </c>
      <c r="C4" s="24" t="s">
        <v>165</v>
      </c>
      <c r="D4" s="24">
        <v>62</v>
      </c>
      <c r="E4" s="24" t="s">
        <v>2681</v>
      </c>
    </row>
    <row r="5" spans="1:25" ht="25.5" customHeight="1">
      <c r="A5" s="23" t="s">
        <v>2363</v>
      </c>
      <c r="B5" s="24" t="s">
        <v>86</v>
      </c>
      <c r="C5" s="24" t="s">
        <v>87</v>
      </c>
      <c r="D5" s="24">
        <v>56</v>
      </c>
      <c r="E5" s="24" t="s">
        <v>2682</v>
      </c>
    </row>
    <row r="6" spans="1:25" ht="25.5" customHeight="1">
      <c r="A6" s="23" t="s">
        <v>2363</v>
      </c>
      <c r="B6" s="24" t="s">
        <v>72</v>
      </c>
      <c r="C6" s="24" t="s">
        <v>73</v>
      </c>
      <c r="D6" s="24">
        <v>51</v>
      </c>
      <c r="E6" s="24" t="s">
        <v>2683</v>
      </c>
    </row>
    <row r="7" spans="1:25" ht="25.5" customHeight="1">
      <c r="A7" s="23" t="s">
        <v>2363</v>
      </c>
      <c r="B7" s="24" t="s">
        <v>158</v>
      </c>
      <c r="C7" s="24" t="s">
        <v>159</v>
      </c>
      <c r="D7" s="24">
        <v>49</v>
      </c>
      <c r="E7" s="24" t="s">
        <v>2684</v>
      </c>
    </row>
    <row r="8" spans="1:25" ht="25.5" customHeight="1">
      <c r="A8" s="23" t="s">
        <v>2363</v>
      </c>
      <c r="B8" s="24" t="s">
        <v>2685</v>
      </c>
      <c r="C8" s="24" t="s">
        <v>2686</v>
      </c>
      <c r="D8" s="24">
        <v>45</v>
      </c>
      <c r="E8" s="24" t="s">
        <v>2687</v>
      </c>
    </row>
    <row r="9" spans="1:25" ht="25.5" customHeight="1">
      <c r="A9" s="23" t="s">
        <v>2363</v>
      </c>
      <c r="B9" s="24" t="s">
        <v>126</v>
      </c>
      <c r="C9" s="24" t="s">
        <v>127</v>
      </c>
      <c r="D9" s="24">
        <v>42</v>
      </c>
      <c r="E9" s="24" t="s">
        <v>2688</v>
      </c>
    </row>
    <row r="10" spans="1:25" ht="25.5" customHeight="1">
      <c r="A10" s="23" t="s">
        <v>2363</v>
      </c>
      <c r="B10" s="24" t="s">
        <v>94</v>
      </c>
      <c r="C10" s="24" t="s">
        <v>95</v>
      </c>
      <c r="D10" s="24">
        <v>35</v>
      </c>
      <c r="E10" s="24" t="s">
        <v>2689</v>
      </c>
    </row>
    <row r="11" spans="1:25" ht="25.5" customHeight="1">
      <c r="A11" s="23" t="s">
        <v>2363</v>
      </c>
      <c r="B11" s="24" t="s">
        <v>34</v>
      </c>
      <c r="C11" s="24" t="s">
        <v>35</v>
      </c>
      <c r="D11" s="24">
        <v>33</v>
      </c>
      <c r="E11" s="24" t="s">
        <v>2690</v>
      </c>
    </row>
    <row r="12" spans="1:25" ht="25.5" customHeight="1">
      <c r="A12" s="23" t="s">
        <v>2383</v>
      </c>
      <c r="B12" s="24" t="s">
        <v>172</v>
      </c>
      <c r="C12" s="24" t="s">
        <v>173</v>
      </c>
      <c r="D12" s="24">
        <v>33</v>
      </c>
      <c r="E12" s="24" t="s">
        <v>2691</v>
      </c>
    </row>
    <row r="13" spans="1:25" ht="25.5" customHeight="1">
      <c r="A13" s="26" t="s">
        <v>2383</v>
      </c>
      <c r="B13" s="24" t="s">
        <v>188</v>
      </c>
      <c r="C13" s="24" t="s">
        <v>189</v>
      </c>
      <c r="D13" s="24">
        <v>32</v>
      </c>
      <c r="E13" s="24" t="s">
        <v>2692</v>
      </c>
    </row>
    <row r="14" spans="1:25" ht="25.5" customHeight="1">
      <c r="A14" s="26" t="s">
        <v>2383</v>
      </c>
      <c r="B14" s="24" t="s">
        <v>736</v>
      </c>
      <c r="C14" s="25" t="s">
        <v>333</v>
      </c>
      <c r="D14" s="24">
        <v>30</v>
      </c>
      <c r="E14" s="24" t="s">
        <v>2693</v>
      </c>
    </row>
    <row r="15" spans="1:25" ht="25.5" customHeight="1">
      <c r="A15" s="26" t="s">
        <v>2383</v>
      </c>
      <c r="B15" s="25" t="s">
        <v>356</v>
      </c>
      <c r="C15" s="24" t="s">
        <v>357</v>
      </c>
      <c r="D15" s="24">
        <v>28</v>
      </c>
      <c r="E15" s="24" t="s">
        <v>2694</v>
      </c>
    </row>
    <row r="16" spans="1:25" ht="25.5" customHeight="1">
      <c r="A16" s="26" t="s">
        <v>2383</v>
      </c>
      <c r="B16" s="24" t="s">
        <v>78</v>
      </c>
      <c r="C16" s="24" t="s">
        <v>79</v>
      </c>
      <c r="D16" s="24">
        <v>27</v>
      </c>
      <c r="E16" s="24" t="s">
        <v>2695</v>
      </c>
    </row>
    <row r="17" spans="1:5" ht="25.5" customHeight="1">
      <c r="A17" s="26" t="s">
        <v>2383</v>
      </c>
      <c r="B17" s="24" t="s">
        <v>2696</v>
      </c>
      <c r="C17" s="24" t="s">
        <v>2697</v>
      </c>
      <c r="D17" s="24">
        <v>27</v>
      </c>
      <c r="E17" s="24" t="s">
        <v>2698</v>
      </c>
    </row>
    <row r="18" spans="1:5" ht="25.5" customHeight="1">
      <c r="A18" s="26" t="s">
        <v>2383</v>
      </c>
      <c r="B18" s="24" t="s">
        <v>2699</v>
      </c>
      <c r="C18" s="24" t="s">
        <v>2700</v>
      </c>
      <c r="D18" s="24">
        <v>27</v>
      </c>
      <c r="E18" s="24" t="s">
        <v>2701</v>
      </c>
    </row>
    <row r="19" spans="1:5" ht="25.5" customHeight="1">
      <c r="A19" s="26" t="s">
        <v>2383</v>
      </c>
      <c r="B19" s="24" t="s">
        <v>392</v>
      </c>
      <c r="C19" s="25" t="s">
        <v>393</v>
      </c>
      <c r="D19" s="24">
        <v>26</v>
      </c>
      <c r="E19" s="24" t="s">
        <v>2702</v>
      </c>
    </row>
    <row r="20" spans="1:5" ht="25.5" customHeight="1">
      <c r="A20" s="26" t="s">
        <v>2383</v>
      </c>
      <c r="B20" s="25" t="s">
        <v>2703</v>
      </c>
      <c r="C20" s="24" t="s">
        <v>401</v>
      </c>
      <c r="D20" s="24">
        <v>26</v>
      </c>
      <c r="E20" s="24" t="s">
        <v>2704</v>
      </c>
    </row>
    <row r="21" spans="1:5" ht="25.5" customHeight="1">
      <c r="A21" s="26" t="s">
        <v>2383</v>
      </c>
      <c r="B21" s="25" t="s">
        <v>1369</v>
      </c>
      <c r="C21" s="24" t="s">
        <v>1370</v>
      </c>
      <c r="D21" s="24" t="s">
        <v>2705</v>
      </c>
      <c r="E21" s="24"/>
    </row>
    <row r="22" spans="1:5" ht="25.5" customHeight="1">
      <c r="A22" s="27" t="s">
        <v>2406</v>
      </c>
      <c r="B22" s="24" t="s">
        <v>2706</v>
      </c>
      <c r="C22" s="24" t="s">
        <v>2707</v>
      </c>
      <c r="D22" s="24">
        <v>30</v>
      </c>
      <c r="E22" s="24" t="s">
        <v>2708</v>
      </c>
    </row>
    <row r="23" spans="1:5" ht="25.5" customHeight="1">
      <c r="A23" s="27" t="s">
        <v>2406</v>
      </c>
      <c r="B23" s="24" t="s">
        <v>2709</v>
      </c>
      <c r="C23" s="24" t="s">
        <v>2710</v>
      </c>
      <c r="D23" s="24">
        <v>81</v>
      </c>
      <c r="E23" s="24" t="s">
        <v>2711</v>
      </c>
    </row>
    <row r="24" spans="1:5" ht="25.5" customHeight="1">
      <c r="A24" s="27" t="s">
        <v>2406</v>
      </c>
      <c r="B24" s="24" t="s">
        <v>22</v>
      </c>
      <c r="C24" s="24" t="s">
        <v>2712</v>
      </c>
      <c r="D24" s="24">
        <v>77</v>
      </c>
      <c r="E24" s="24" t="s">
        <v>2713</v>
      </c>
    </row>
    <row r="25" spans="1:5" ht="25.5" customHeight="1">
      <c r="A25" s="27" t="s">
        <v>2406</v>
      </c>
      <c r="B25" s="24" t="s">
        <v>214</v>
      </c>
      <c r="C25" s="24" t="s">
        <v>215</v>
      </c>
      <c r="D25" s="24">
        <v>76</v>
      </c>
      <c r="E25" s="24" t="s">
        <v>2714</v>
      </c>
    </row>
    <row r="26" spans="1:5" ht="25.5" customHeight="1">
      <c r="A26" s="27" t="s">
        <v>2406</v>
      </c>
      <c r="B26" s="24" t="s">
        <v>2715</v>
      </c>
      <c r="C26" s="24" t="s">
        <v>2716</v>
      </c>
      <c r="D26" s="24">
        <v>72</v>
      </c>
      <c r="E26" s="24" t="s">
        <v>2717</v>
      </c>
    </row>
    <row r="27" spans="1:5" ht="25.5" customHeight="1">
      <c r="A27" s="27" t="s">
        <v>2406</v>
      </c>
      <c r="B27" s="24" t="s">
        <v>2718</v>
      </c>
      <c r="C27" s="24" t="s">
        <v>2719</v>
      </c>
      <c r="D27" s="24">
        <v>65</v>
      </c>
      <c r="E27" s="24" t="s">
        <v>2720</v>
      </c>
    </row>
    <row r="28" spans="1:5" ht="25.5" customHeight="1">
      <c r="A28" s="27" t="s">
        <v>2406</v>
      </c>
      <c r="B28" s="24" t="s">
        <v>206</v>
      </c>
      <c r="C28" s="24" t="s">
        <v>207</v>
      </c>
      <c r="D28" s="24">
        <v>52</v>
      </c>
      <c r="E28" s="24" t="s">
        <v>2721</v>
      </c>
    </row>
    <row r="29" spans="1:5" ht="25.5" customHeight="1">
      <c r="A29" s="27" t="s">
        <v>2406</v>
      </c>
      <c r="B29" s="24" t="s">
        <v>1012</v>
      </c>
      <c r="C29" s="24" t="s">
        <v>1013</v>
      </c>
      <c r="D29" s="24">
        <v>44</v>
      </c>
      <c r="E29" s="24" t="s">
        <v>2722</v>
      </c>
    </row>
    <row r="30" spans="1:5" ht="25.5" customHeight="1">
      <c r="A30" s="27" t="s">
        <v>2406</v>
      </c>
      <c r="B30" s="24" t="s">
        <v>2723</v>
      </c>
      <c r="C30" s="25" t="s">
        <v>2724</v>
      </c>
      <c r="D30" s="24">
        <v>44</v>
      </c>
      <c r="E30" s="24" t="s">
        <v>2725</v>
      </c>
    </row>
    <row r="31" spans="1:5" ht="25.5" customHeight="1">
      <c r="A31" s="27" t="s">
        <v>2406</v>
      </c>
      <c r="B31" s="24" t="s">
        <v>2726</v>
      </c>
      <c r="C31" s="24" t="s">
        <v>2727</v>
      </c>
      <c r="D31" s="24">
        <v>42</v>
      </c>
      <c r="E31" s="24" t="s">
        <v>2728</v>
      </c>
    </row>
    <row r="32" spans="1:5" ht="25.5" customHeight="1">
      <c r="A32" s="27" t="s">
        <v>2406</v>
      </c>
      <c r="B32" s="24" t="s">
        <v>60</v>
      </c>
      <c r="C32" s="24" t="s">
        <v>61</v>
      </c>
      <c r="D32" s="24">
        <v>41</v>
      </c>
      <c r="E32" s="24" t="s">
        <v>2729</v>
      </c>
    </row>
    <row r="33" spans="1:5" ht="25.5" customHeight="1">
      <c r="A33" s="27" t="s">
        <v>2406</v>
      </c>
      <c r="B33" s="24" t="s">
        <v>1265</v>
      </c>
      <c r="C33" s="24" t="s">
        <v>2730</v>
      </c>
      <c r="D33" s="24">
        <v>37</v>
      </c>
      <c r="E33" s="24" t="s">
        <v>2731</v>
      </c>
    </row>
    <row r="34" spans="1:5" ht="25.5" customHeight="1">
      <c r="A34" s="27" t="s">
        <v>2406</v>
      </c>
      <c r="B34" s="24" t="s">
        <v>132</v>
      </c>
      <c r="C34" s="24" t="s">
        <v>133</v>
      </c>
      <c r="D34" s="24">
        <v>36</v>
      </c>
      <c r="E34" s="24" t="s">
        <v>2732</v>
      </c>
    </row>
    <row r="35" spans="1:5" ht="25.5" customHeight="1">
      <c r="A35" s="27" t="s">
        <v>2406</v>
      </c>
      <c r="B35" s="24" t="s">
        <v>8</v>
      </c>
      <c r="C35" s="24" t="s">
        <v>9</v>
      </c>
      <c r="D35" s="24">
        <v>35</v>
      </c>
      <c r="E35" s="24" t="s">
        <v>2733</v>
      </c>
    </row>
    <row r="36" spans="1:5" ht="25.5" customHeight="1">
      <c r="A36" s="27" t="s">
        <v>2406</v>
      </c>
      <c r="B36" s="24" t="s">
        <v>44</v>
      </c>
      <c r="C36" s="25" t="s">
        <v>45</v>
      </c>
      <c r="D36" s="24">
        <v>33</v>
      </c>
      <c r="E36" s="24" t="s">
        <v>2734</v>
      </c>
    </row>
    <row r="37" spans="1:5" ht="25.5" customHeight="1">
      <c r="A37" s="27" t="s">
        <v>2406</v>
      </c>
      <c r="B37" s="24" t="s">
        <v>2375</v>
      </c>
      <c r="C37" s="24" t="s">
        <v>21</v>
      </c>
      <c r="D37" s="24">
        <v>33</v>
      </c>
      <c r="E37" s="24" t="s">
        <v>2377</v>
      </c>
    </row>
    <row r="38" spans="1:5" ht="25.5" customHeight="1">
      <c r="A38" s="27" t="s">
        <v>2406</v>
      </c>
      <c r="B38" s="24" t="s">
        <v>120</v>
      </c>
      <c r="C38" s="24" t="s">
        <v>121</v>
      </c>
      <c r="D38" s="24">
        <v>31</v>
      </c>
      <c r="E38" s="24" t="s">
        <v>2735</v>
      </c>
    </row>
    <row r="39" spans="1:5" ht="25.5" customHeight="1">
      <c r="A39" s="27" t="s">
        <v>2406</v>
      </c>
      <c r="B39" s="24" t="s">
        <v>170</v>
      </c>
      <c r="C39" s="24" t="s">
        <v>171</v>
      </c>
      <c r="D39" s="24">
        <v>31</v>
      </c>
      <c r="E39" s="24" t="s">
        <v>2736</v>
      </c>
    </row>
    <row r="40" spans="1:5" ht="25.5" customHeight="1">
      <c r="A40" s="27" t="s">
        <v>2406</v>
      </c>
      <c r="B40" s="25" t="s">
        <v>10</v>
      </c>
      <c r="C40" s="24" t="s">
        <v>11</v>
      </c>
      <c r="D40" s="24">
        <v>31</v>
      </c>
      <c r="E40" s="24" t="s">
        <v>2737</v>
      </c>
    </row>
    <row r="41" spans="1:5" ht="25.5" customHeight="1">
      <c r="A41" s="27" t="s">
        <v>2406</v>
      </c>
      <c r="B41" s="24" t="s">
        <v>82</v>
      </c>
      <c r="C41" s="24" t="s">
        <v>83</v>
      </c>
      <c r="D41" s="24">
        <v>28</v>
      </c>
      <c r="E41" s="24" t="s">
        <v>2385</v>
      </c>
    </row>
    <row r="42" spans="1:5" ht="25.5" customHeight="1">
      <c r="A42" s="27" t="s">
        <v>2406</v>
      </c>
      <c r="B42" s="25" t="s">
        <v>390</v>
      </c>
      <c r="C42" s="25" t="s">
        <v>391</v>
      </c>
      <c r="D42" s="24">
        <v>27</v>
      </c>
      <c r="E42" s="24" t="s">
        <v>2738</v>
      </c>
    </row>
    <row r="43" spans="1:5" ht="25.5" customHeight="1">
      <c r="A43" s="27" t="s">
        <v>2406</v>
      </c>
      <c r="B43" s="24" t="s">
        <v>2389</v>
      </c>
      <c r="C43" s="25" t="s">
        <v>2390</v>
      </c>
      <c r="D43" s="24">
        <v>22</v>
      </c>
      <c r="E43" s="24" t="s">
        <v>2739</v>
      </c>
    </row>
    <row r="44" spans="1:5" ht="25.5" customHeight="1">
      <c r="A44" s="27" t="s">
        <v>2406</v>
      </c>
      <c r="B44" s="24" t="s">
        <v>58</v>
      </c>
      <c r="C44" s="25" t="s">
        <v>59</v>
      </c>
      <c r="D44" s="24">
        <v>22</v>
      </c>
      <c r="E44" s="24" t="s">
        <v>2396</v>
      </c>
    </row>
    <row r="45" spans="1:5" ht="25.5" customHeight="1">
      <c r="A45" s="27" t="s">
        <v>2406</v>
      </c>
      <c r="B45" s="24" t="s">
        <v>388</v>
      </c>
      <c r="C45" s="25" t="s">
        <v>389</v>
      </c>
      <c r="D45" s="24">
        <v>21</v>
      </c>
      <c r="E45" s="24" t="s">
        <v>2740</v>
      </c>
    </row>
    <row r="46" spans="1:5" ht="25.5" customHeight="1">
      <c r="A46" s="27" t="s">
        <v>2406</v>
      </c>
      <c r="B46" s="24" t="s">
        <v>414</v>
      </c>
      <c r="C46" s="24" t="s">
        <v>415</v>
      </c>
      <c r="D46" s="24">
        <v>20</v>
      </c>
      <c r="E46" s="24" t="s">
        <v>2741</v>
      </c>
    </row>
    <row r="47" spans="1:5" ht="25.5" customHeight="1">
      <c r="A47" s="27" t="s">
        <v>2406</v>
      </c>
      <c r="B47" s="24" t="s">
        <v>978</v>
      </c>
      <c r="C47" s="24" t="s">
        <v>979</v>
      </c>
      <c r="D47" s="24">
        <v>15</v>
      </c>
      <c r="E47" s="24" t="s">
        <v>2742</v>
      </c>
    </row>
    <row r="48" spans="1:5" ht="25.5" customHeight="1">
      <c r="A48" s="27" t="s">
        <v>2406</v>
      </c>
      <c r="B48" s="24" t="s">
        <v>2743</v>
      </c>
      <c r="C48" s="24" t="s">
        <v>2744</v>
      </c>
      <c r="D48" s="24" t="s">
        <v>2705</v>
      </c>
      <c r="E48" s="24"/>
    </row>
    <row r="49" spans="1:5" ht="25.5" customHeight="1">
      <c r="A49" s="27" t="s">
        <v>2406</v>
      </c>
      <c r="B49" s="25" t="s">
        <v>2745</v>
      </c>
      <c r="C49" s="24" t="s">
        <v>465</v>
      </c>
      <c r="D49" s="24">
        <v>26</v>
      </c>
      <c r="E49" s="24" t="s">
        <v>2746</v>
      </c>
    </row>
    <row r="50" spans="1:5" ht="25.5" customHeight="1">
      <c r="A50" s="27" t="s">
        <v>2406</v>
      </c>
      <c r="B50" s="24" t="s">
        <v>2747</v>
      </c>
      <c r="C50" s="24" t="s">
        <v>2748</v>
      </c>
      <c r="D50" s="24">
        <v>26</v>
      </c>
      <c r="E50" s="24" t="s">
        <v>2749</v>
      </c>
    </row>
    <row r="51" spans="1:5" ht="25.5" customHeight="1">
      <c r="A51" s="27" t="s">
        <v>2406</v>
      </c>
      <c r="B51" s="25" t="s">
        <v>220</v>
      </c>
      <c r="C51" s="24" t="s">
        <v>221</v>
      </c>
      <c r="D51" s="24">
        <v>26</v>
      </c>
      <c r="E51" s="24" t="s">
        <v>2750</v>
      </c>
    </row>
    <row r="52" spans="1:5" ht="25.5" customHeight="1">
      <c r="A52" s="27" t="s">
        <v>2406</v>
      </c>
      <c r="B52" s="25" t="s">
        <v>412</v>
      </c>
      <c r="C52" s="24" t="s">
        <v>413</v>
      </c>
      <c r="D52" s="24">
        <v>25</v>
      </c>
      <c r="E52" s="24" t="s">
        <v>2751</v>
      </c>
    </row>
    <row r="53" spans="1:5" ht="25.5" customHeight="1">
      <c r="A53" s="27" t="s">
        <v>2406</v>
      </c>
      <c r="B53" s="25" t="s">
        <v>378</v>
      </c>
      <c r="C53" s="24" t="s">
        <v>379</v>
      </c>
      <c r="D53" s="24">
        <v>25</v>
      </c>
      <c r="E53" s="24" t="s">
        <v>2752</v>
      </c>
    </row>
    <row r="54" spans="1:5" ht="25.5" customHeight="1">
      <c r="A54" s="27" t="s">
        <v>2406</v>
      </c>
      <c r="B54" s="24" t="s">
        <v>32</v>
      </c>
      <c r="C54" s="24" t="s">
        <v>33</v>
      </c>
      <c r="D54" s="24">
        <v>25</v>
      </c>
      <c r="E54" s="24" t="s">
        <v>2753</v>
      </c>
    </row>
    <row r="55" spans="1:5" ht="25.5" customHeight="1">
      <c r="A55" s="27" t="s">
        <v>2406</v>
      </c>
      <c r="B55" s="25" t="s">
        <v>404</v>
      </c>
      <c r="C55" s="24" t="s">
        <v>405</v>
      </c>
      <c r="D55" s="24">
        <v>24</v>
      </c>
      <c r="E55" s="24" t="s">
        <v>2754</v>
      </c>
    </row>
    <row r="56" spans="1:5" ht="25.5" customHeight="1">
      <c r="A56" s="27" t="s">
        <v>2406</v>
      </c>
      <c r="B56" s="25" t="s">
        <v>2755</v>
      </c>
      <c r="C56" s="24" t="s">
        <v>965</v>
      </c>
      <c r="D56" s="24">
        <v>24</v>
      </c>
      <c r="E56" s="24" t="s">
        <v>2756</v>
      </c>
    </row>
    <row r="57" spans="1:5" ht="25.5" customHeight="1">
      <c r="A57" s="27" t="s">
        <v>2406</v>
      </c>
      <c r="B57" s="25" t="s">
        <v>2757</v>
      </c>
      <c r="C57" s="24" t="s">
        <v>2758</v>
      </c>
      <c r="D57" s="24">
        <v>24</v>
      </c>
      <c r="E57" s="24" t="s">
        <v>2759</v>
      </c>
    </row>
    <row r="58" spans="1:5" ht="25.5" customHeight="1">
      <c r="A58" s="27" t="s">
        <v>2406</v>
      </c>
      <c r="B58" s="25" t="s">
        <v>372</v>
      </c>
      <c r="C58" s="24" t="s">
        <v>373</v>
      </c>
      <c r="D58" s="24">
        <v>23</v>
      </c>
      <c r="E58" s="24" t="s">
        <v>2760</v>
      </c>
    </row>
    <row r="59" spans="1:5" ht="25.5" customHeight="1">
      <c r="A59" s="27" t="s">
        <v>2406</v>
      </c>
      <c r="B59" s="25" t="s">
        <v>1085</v>
      </c>
      <c r="C59" s="24" t="s">
        <v>1086</v>
      </c>
      <c r="D59" s="24">
        <v>23</v>
      </c>
      <c r="E59" s="24" t="s">
        <v>2761</v>
      </c>
    </row>
    <row r="60" spans="1:5" ht="25.5" customHeight="1">
      <c r="A60" s="27" t="s">
        <v>2406</v>
      </c>
      <c r="B60" s="24" t="s">
        <v>276</v>
      </c>
      <c r="C60" s="25" t="s">
        <v>277</v>
      </c>
      <c r="D60" s="24">
        <v>22</v>
      </c>
      <c r="E60" s="24" t="s">
        <v>2762</v>
      </c>
    </row>
    <row r="61" spans="1:5" ht="25.5" customHeight="1">
      <c r="A61" s="27" t="s">
        <v>2406</v>
      </c>
      <c r="B61" s="25" t="s">
        <v>740</v>
      </c>
      <c r="C61" s="24" t="s">
        <v>741</v>
      </c>
      <c r="D61" s="24">
        <v>22</v>
      </c>
      <c r="E61" s="24" t="s">
        <v>2763</v>
      </c>
    </row>
    <row r="62" spans="1:5" ht="25.5" customHeight="1">
      <c r="A62" s="27" t="s">
        <v>2406</v>
      </c>
      <c r="B62" s="25" t="s">
        <v>252</v>
      </c>
      <c r="C62" s="24" t="s">
        <v>253</v>
      </c>
      <c r="D62" s="24">
        <v>21</v>
      </c>
      <c r="E62" s="24" t="s">
        <v>2764</v>
      </c>
    </row>
    <row r="63" spans="1:5" ht="25.5" customHeight="1">
      <c r="A63" s="27" t="s">
        <v>2406</v>
      </c>
      <c r="B63" s="24" t="s">
        <v>2765</v>
      </c>
      <c r="C63" s="24" t="s">
        <v>2766</v>
      </c>
      <c r="D63" s="24">
        <v>21</v>
      </c>
      <c r="E63" s="24" t="s">
        <v>2767</v>
      </c>
    </row>
    <row r="64" spans="1:5" ht="25.5" customHeight="1">
      <c r="A64" s="27" t="s">
        <v>2406</v>
      </c>
      <c r="B64" s="25" t="s">
        <v>262</v>
      </c>
      <c r="C64" s="24" t="s">
        <v>263</v>
      </c>
      <c r="D64" s="24">
        <v>21</v>
      </c>
      <c r="E64" s="24" t="s">
        <v>2768</v>
      </c>
    </row>
    <row r="65" spans="1:5" ht="25.5" customHeight="1">
      <c r="A65" s="27" t="s">
        <v>2406</v>
      </c>
      <c r="B65" s="25" t="s">
        <v>2769</v>
      </c>
      <c r="C65" s="24" t="s">
        <v>463</v>
      </c>
      <c r="D65" s="24">
        <v>21</v>
      </c>
      <c r="E65" s="24" t="s">
        <v>2770</v>
      </c>
    </row>
    <row r="66" spans="1:5" ht="25.5" customHeight="1">
      <c r="A66" s="27" t="s">
        <v>2406</v>
      </c>
      <c r="B66" s="25" t="s">
        <v>328</v>
      </c>
      <c r="C66" s="24" t="s">
        <v>329</v>
      </c>
      <c r="D66" s="24">
        <v>20</v>
      </c>
      <c r="E66" s="24" t="s">
        <v>2771</v>
      </c>
    </row>
    <row r="67" spans="1:5" ht="25.5" customHeight="1">
      <c r="A67" s="27" t="s">
        <v>2406</v>
      </c>
      <c r="B67" s="25" t="s">
        <v>358</v>
      </c>
      <c r="C67" s="24" t="s">
        <v>359</v>
      </c>
      <c r="D67" s="24">
        <v>20</v>
      </c>
      <c r="E67" s="24" t="s">
        <v>2772</v>
      </c>
    </row>
    <row r="68" spans="1:5" ht="25.5" customHeight="1">
      <c r="A68" s="27" t="s">
        <v>2406</v>
      </c>
      <c r="B68" s="25" t="s">
        <v>362</v>
      </c>
      <c r="C68" s="24" t="s">
        <v>363</v>
      </c>
      <c r="D68" s="24">
        <v>20</v>
      </c>
      <c r="E68" s="24" t="s">
        <v>2413</v>
      </c>
    </row>
    <row r="69" spans="1:5" ht="25.5" customHeight="1">
      <c r="A69" s="27" t="s">
        <v>2406</v>
      </c>
      <c r="B69" s="25" t="s">
        <v>448</v>
      </c>
      <c r="C69" s="24" t="s">
        <v>449</v>
      </c>
      <c r="D69" s="24">
        <v>20</v>
      </c>
      <c r="E69" s="24" t="s">
        <v>2773</v>
      </c>
    </row>
    <row r="70" spans="1:5" ht="25.5" customHeight="1">
      <c r="A70" s="27" t="s">
        <v>2406</v>
      </c>
      <c r="B70" s="24" t="s">
        <v>2774</v>
      </c>
      <c r="C70" s="24" t="s">
        <v>2775</v>
      </c>
      <c r="D70" s="24">
        <v>20</v>
      </c>
      <c r="E70" s="24" t="s">
        <v>2776</v>
      </c>
    </row>
    <row r="71" spans="1:5" ht="25.5" customHeight="1">
      <c r="A71" s="27" t="s">
        <v>2406</v>
      </c>
      <c r="B71" s="24" t="s">
        <v>1887</v>
      </c>
      <c r="C71" s="24" t="s">
        <v>2777</v>
      </c>
      <c r="D71" s="24">
        <v>20</v>
      </c>
      <c r="E71" s="24" t="s">
        <v>2778</v>
      </c>
    </row>
    <row r="72" spans="1:5" ht="25.5" customHeight="1">
      <c r="A72" s="27" t="s">
        <v>2406</v>
      </c>
      <c r="B72" s="24" t="s">
        <v>2779</v>
      </c>
      <c r="C72" s="24" t="s">
        <v>2780</v>
      </c>
      <c r="D72" s="24">
        <v>19</v>
      </c>
      <c r="E72" s="24" t="s">
        <v>2781</v>
      </c>
    </row>
    <row r="73" spans="1:5" ht="25.5" customHeight="1">
      <c r="A73" s="27" t="s">
        <v>2406</v>
      </c>
      <c r="B73" s="25" t="s">
        <v>838</v>
      </c>
      <c r="C73" s="24" t="s">
        <v>839</v>
      </c>
      <c r="D73" s="24">
        <v>19</v>
      </c>
      <c r="E73" s="24" t="s">
        <v>2782</v>
      </c>
    </row>
    <row r="74" spans="1:5" ht="25.5" customHeight="1">
      <c r="A74" s="27" t="s">
        <v>2406</v>
      </c>
      <c r="B74" s="24" t="s">
        <v>2783</v>
      </c>
      <c r="C74" s="24" t="s">
        <v>2784</v>
      </c>
      <c r="D74" s="24">
        <v>19</v>
      </c>
      <c r="E74" s="24" t="s">
        <v>2785</v>
      </c>
    </row>
    <row r="75" spans="1:5" ht="25.5" customHeight="1">
      <c r="A75" s="27" t="s">
        <v>2406</v>
      </c>
      <c r="B75" s="24" t="s">
        <v>2786</v>
      </c>
      <c r="C75" s="24" t="s">
        <v>2787</v>
      </c>
      <c r="D75" s="24">
        <v>19</v>
      </c>
      <c r="E75" s="24" t="s">
        <v>2788</v>
      </c>
    </row>
    <row r="76" spans="1:5" ht="25.5" customHeight="1">
      <c r="A76" s="27" t="s">
        <v>2406</v>
      </c>
      <c r="B76" s="25" t="s">
        <v>2789</v>
      </c>
      <c r="C76" s="24" t="s">
        <v>2790</v>
      </c>
      <c r="D76" s="24">
        <v>18</v>
      </c>
      <c r="E76" s="24" t="s">
        <v>2791</v>
      </c>
    </row>
    <row r="77" spans="1:5" ht="25.5" customHeight="1">
      <c r="A77" s="27" t="s">
        <v>2406</v>
      </c>
      <c r="B77" s="25" t="s">
        <v>456</v>
      </c>
      <c r="C77" s="24" t="s">
        <v>457</v>
      </c>
      <c r="D77" s="24">
        <v>18</v>
      </c>
      <c r="E77" s="24" t="s">
        <v>2792</v>
      </c>
    </row>
    <row r="78" spans="1:5" ht="25.5" customHeight="1">
      <c r="A78" s="27" t="s">
        <v>2406</v>
      </c>
      <c r="B78" s="25" t="s">
        <v>860</v>
      </c>
      <c r="C78" s="24" t="s">
        <v>861</v>
      </c>
      <c r="D78" s="24">
        <v>18</v>
      </c>
      <c r="E78" s="24" t="s">
        <v>2793</v>
      </c>
    </row>
    <row r="79" spans="1:5" ht="25.5" customHeight="1">
      <c r="A79" s="27" t="s">
        <v>2406</v>
      </c>
      <c r="B79" s="25" t="s">
        <v>2794</v>
      </c>
      <c r="C79" s="24" t="s">
        <v>2795</v>
      </c>
      <c r="D79" s="24">
        <v>18</v>
      </c>
      <c r="E79" s="24" t="s">
        <v>2796</v>
      </c>
    </row>
    <row r="80" spans="1:5" ht="25.5" customHeight="1">
      <c r="A80" s="27" t="s">
        <v>2406</v>
      </c>
      <c r="B80" s="24" t="s">
        <v>2797</v>
      </c>
      <c r="C80" s="24" t="s">
        <v>2798</v>
      </c>
      <c r="D80" s="24">
        <v>18</v>
      </c>
      <c r="E80" s="24" t="s">
        <v>2799</v>
      </c>
    </row>
    <row r="81" spans="1:5" ht="25.5" customHeight="1">
      <c r="A81" s="27" t="s">
        <v>2406</v>
      </c>
      <c r="B81" s="25" t="s">
        <v>554</v>
      </c>
      <c r="C81" s="24" t="s">
        <v>555</v>
      </c>
      <c r="D81" s="24">
        <v>17</v>
      </c>
      <c r="E81" s="24" t="s">
        <v>2800</v>
      </c>
    </row>
    <row r="82" spans="1:5" ht="25.5" customHeight="1">
      <c r="A82" s="27" t="s">
        <v>2406</v>
      </c>
      <c r="B82" s="24" t="s">
        <v>384</v>
      </c>
      <c r="C82" s="24" t="s">
        <v>385</v>
      </c>
      <c r="D82" s="24">
        <v>17</v>
      </c>
      <c r="E82" s="24" t="s">
        <v>2801</v>
      </c>
    </row>
    <row r="83" spans="1:5" ht="25.5" customHeight="1">
      <c r="A83" s="27" t="s">
        <v>2406</v>
      </c>
      <c r="B83" s="25" t="s">
        <v>2802</v>
      </c>
      <c r="C83" s="24" t="s">
        <v>2803</v>
      </c>
      <c r="D83" s="24">
        <v>17</v>
      </c>
      <c r="E83" s="24" t="s">
        <v>2804</v>
      </c>
    </row>
    <row r="84" spans="1:5" ht="25.5" customHeight="1">
      <c r="A84" s="27" t="s">
        <v>2406</v>
      </c>
      <c r="B84" s="25" t="s">
        <v>754</v>
      </c>
      <c r="C84" s="24" t="s">
        <v>755</v>
      </c>
      <c r="D84" s="24">
        <v>17</v>
      </c>
      <c r="E84" s="24" t="s">
        <v>2805</v>
      </c>
    </row>
    <row r="85" spans="1:5" ht="25.5" customHeight="1">
      <c r="A85" s="27" t="s">
        <v>2406</v>
      </c>
      <c r="B85" s="25" t="s">
        <v>1040</v>
      </c>
      <c r="C85" s="24" t="s">
        <v>1041</v>
      </c>
      <c r="D85" s="24">
        <v>17</v>
      </c>
      <c r="E85" s="24" t="s">
        <v>2806</v>
      </c>
    </row>
    <row r="86" spans="1:5" ht="25.5" customHeight="1">
      <c r="A86" s="27" t="s">
        <v>2406</v>
      </c>
      <c r="B86" s="24" t="s">
        <v>2807</v>
      </c>
      <c r="C86" s="24" t="s">
        <v>2808</v>
      </c>
      <c r="D86" s="24">
        <v>17</v>
      </c>
      <c r="E86" s="24" t="s">
        <v>2809</v>
      </c>
    </row>
    <row r="87" spans="1:5" ht="25.5" customHeight="1">
      <c r="A87" s="27" t="s">
        <v>2406</v>
      </c>
      <c r="B87" s="25" t="s">
        <v>1175</v>
      </c>
      <c r="C87" s="24" t="s">
        <v>1176</v>
      </c>
      <c r="D87" s="24">
        <v>16</v>
      </c>
      <c r="E87" s="24" t="s">
        <v>2810</v>
      </c>
    </row>
    <row r="88" spans="1:5" ht="25.5" customHeight="1">
      <c r="A88" s="27" t="s">
        <v>2406</v>
      </c>
      <c r="B88" s="25" t="s">
        <v>594</v>
      </c>
      <c r="C88" s="24" t="s">
        <v>595</v>
      </c>
      <c r="D88" s="24">
        <v>15</v>
      </c>
      <c r="E88" s="24" t="s">
        <v>2811</v>
      </c>
    </row>
    <row r="89" spans="1:5" ht="25.5" customHeight="1">
      <c r="A89" s="27" t="s">
        <v>2406</v>
      </c>
      <c r="B89" s="25" t="s">
        <v>1022</v>
      </c>
      <c r="C89" s="24" t="s">
        <v>1023</v>
      </c>
      <c r="D89" s="24">
        <v>15</v>
      </c>
      <c r="E89" s="24" t="s">
        <v>2812</v>
      </c>
    </row>
    <row r="90" spans="1:5" ht="25.5" customHeight="1">
      <c r="A90" s="27" t="s">
        <v>2406</v>
      </c>
      <c r="B90" s="25" t="s">
        <v>776</v>
      </c>
      <c r="C90" s="24" t="s">
        <v>777</v>
      </c>
      <c r="D90" s="24">
        <v>14</v>
      </c>
      <c r="E90" s="24" t="s">
        <v>2813</v>
      </c>
    </row>
    <row r="91" spans="1:5" ht="25.5" customHeight="1">
      <c r="A91" s="27" t="s">
        <v>2406</v>
      </c>
      <c r="B91" s="25" t="s">
        <v>866</v>
      </c>
      <c r="C91" s="24" t="s">
        <v>867</v>
      </c>
      <c r="D91" s="24">
        <v>14</v>
      </c>
      <c r="E91" s="24" t="s">
        <v>2814</v>
      </c>
    </row>
    <row r="92" spans="1:5" ht="25.5" customHeight="1">
      <c r="A92" s="27" t="s">
        <v>2406</v>
      </c>
      <c r="B92" s="25" t="s">
        <v>1511</v>
      </c>
      <c r="C92" s="24" t="s">
        <v>1512</v>
      </c>
      <c r="D92" s="24">
        <v>14</v>
      </c>
      <c r="E92" s="24" t="s">
        <v>2815</v>
      </c>
    </row>
    <row r="93" spans="1:5" ht="25.5" customHeight="1">
      <c r="A93" s="27" t="s">
        <v>2406</v>
      </c>
      <c r="B93" s="24" t="s">
        <v>764</v>
      </c>
      <c r="C93" s="24" t="s">
        <v>765</v>
      </c>
      <c r="D93" s="24">
        <v>13</v>
      </c>
      <c r="E93" s="24" t="s">
        <v>2816</v>
      </c>
    </row>
    <row r="94" spans="1:5" ht="25.5" customHeight="1">
      <c r="A94" s="27" t="s">
        <v>2406</v>
      </c>
      <c r="B94" s="24" t="s">
        <v>2817</v>
      </c>
      <c r="C94" s="24" t="s">
        <v>2818</v>
      </c>
      <c r="D94" s="24">
        <v>13</v>
      </c>
      <c r="E94" s="24" t="s">
        <v>2819</v>
      </c>
    </row>
    <row r="95" spans="1:5" ht="25.5" customHeight="1">
      <c r="A95" s="27" t="s">
        <v>2406</v>
      </c>
      <c r="B95" s="24" t="s">
        <v>2820</v>
      </c>
      <c r="C95" s="24" t="s">
        <v>2821</v>
      </c>
      <c r="D95" s="24">
        <v>13</v>
      </c>
      <c r="E95" s="24" t="s">
        <v>2822</v>
      </c>
    </row>
    <row r="96" spans="1:5" ht="25.5" customHeight="1">
      <c r="A96" s="27" t="s">
        <v>2406</v>
      </c>
      <c r="B96" s="25" t="s">
        <v>880</v>
      </c>
      <c r="C96" s="24" t="s">
        <v>881</v>
      </c>
      <c r="D96" s="24">
        <v>12</v>
      </c>
      <c r="E96" s="24" t="s">
        <v>2823</v>
      </c>
    </row>
    <row r="97" spans="1:5" ht="25.5" customHeight="1">
      <c r="A97" s="27" t="s">
        <v>2406</v>
      </c>
      <c r="B97" s="25" t="s">
        <v>2824</v>
      </c>
      <c r="C97" s="24" t="s">
        <v>2825</v>
      </c>
      <c r="D97" s="24">
        <v>12</v>
      </c>
      <c r="E97" s="24" t="s">
        <v>2826</v>
      </c>
    </row>
    <row r="98" spans="1:5" ht="25.5" customHeight="1">
      <c r="A98" s="27" t="s">
        <v>2406</v>
      </c>
      <c r="B98" s="25" t="s">
        <v>2827</v>
      </c>
      <c r="C98" s="24" t="s">
        <v>859</v>
      </c>
      <c r="D98" s="24">
        <v>12</v>
      </c>
      <c r="E98" s="24" t="s">
        <v>2828</v>
      </c>
    </row>
    <row r="99" spans="1:5" ht="25.5" customHeight="1">
      <c r="A99" s="27" t="s">
        <v>2406</v>
      </c>
      <c r="B99" s="25" t="s">
        <v>2829</v>
      </c>
      <c r="C99" s="24" t="s">
        <v>973</v>
      </c>
      <c r="D99" s="24">
        <v>12</v>
      </c>
      <c r="E99" s="24" t="s">
        <v>2830</v>
      </c>
    </row>
    <row r="100" spans="1:5" s="38" customFormat="1" ht="25.5" customHeight="1">
      <c r="A100" s="27" t="s">
        <v>2406</v>
      </c>
      <c r="B100" s="25" t="s">
        <v>1309</v>
      </c>
      <c r="C100" s="24" t="s">
        <v>1310</v>
      </c>
      <c r="D100" s="24">
        <v>12</v>
      </c>
      <c r="E100" s="24" t="s">
        <v>2831</v>
      </c>
    </row>
    <row r="101" spans="1:5" s="38" customFormat="1" ht="25.5" customHeight="1">
      <c r="A101" s="27" t="s">
        <v>2406</v>
      </c>
      <c r="B101" s="25" t="s">
        <v>1427</v>
      </c>
      <c r="C101" s="24" t="s">
        <v>1428</v>
      </c>
      <c r="D101" s="24">
        <v>12</v>
      </c>
      <c r="E101" s="24" t="s">
        <v>2832</v>
      </c>
    </row>
    <row r="102" spans="1:5" ht="25.5" customHeight="1">
      <c r="A102" s="27" t="s">
        <v>2406</v>
      </c>
      <c r="B102" s="25" t="s">
        <v>1319</v>
      </c>
      <c r="C102" s="24" t="s">
        <v>2833</v>
      </c>
      <c r="D102" s="24">
        <v>11</v>
      </c>
      <c r="E102" s="24" t="s">
        <v>2834</v>
      </c>
    </row>
    <row r="103" spans="1:5" ht="25.5" customHeight="1">
      <c r="A103" s="27" t="s">
        <v>2406</v>
      </c>
      <c r="B103" s="25" t="s">
        <v>2835</v>
      </c>
      <c r="C103" s="24" t="s">
        <v>2836</v>
      </c>
      <c r="D103" s="24">
        <v>10</v>
      </c>
      <c r="E103" s="24" t="s">
        <v>2837</v>
      </c>
    </row>
    <row r="104" spans="1:5" ht="25.5" customHeight="1">
      <c r="A104" s="27" t="s">
        <v>2406</v>
      </c>
      <c r="B104" s="25" t="s">
        <v>1093</v>
      </c>
      <c r="C104" s="24" t="s">
        <v>1094</v>
      </c>
      <c r="D104" s="24">
        <v>10</v>
      </c>
      <c r="E104" s="24" t="s">
        <v>2838</v>
      </c>
    </row>
    <row r="105" spans="1:5" ht="25.5" customHeight="1">
      <c r="A105" s="27" t="s">
        <v>2406</v>
      </c>
      <c r="B105" s="25" t="s">
        <v>1321</v>
      </c>
      <c r="C105" s="24" t="s">
        <v>1322</v>
      </c>
      <c r="D105" s="24">
        <v>10</v>
      </c>
      <c r="E105" s="24" t="s">
        <v>2839</v>
      </c>
    </row>
    <row r="106" spans="1:5" ht="25.5" customHeight="1">
      <c r="A106" s="27" t="s">
        <v>2406</v>
      </c>
      <c r="B106" s="24" t="s">
        <v>1513</v>
      </c>
      <c r="C106" s="24" t="s">
        <v>1514</v>
      </c>
      <c r="D106" s="24">
        <v>10</v>
      </c>
      <c r="E106" s="24" t="s">
        <v>2840</v>
      </c>
    </row>
    <row r="107" spans="1:5" ht="25.5" customHeight="1">
      <c r="A107" s="27" t="s">
        <v>2406</v>
      </c>
      <c r="B107" s="25" t="s">
        <v>2841</v>
      </c>
      <c r="C107" s="24" t="s">
        <v>2842</v>
      </c>
      <c r="D107" s="24">
        <v>9</v>
      </c>
      <c r="E107" s="24" t="s">
        <v>2843</v>
      </c>
    </row>
    <row r="108" spans="1:5" ht="25.5" customHeight="1">
      <c r="A108" s="27" t="s">
        <v>2406</v>
      </c>
      <c r="B108" s="25" t="s">
        <v>1283</v>
      </c>
      <c r="C108" s="24" t="s">
        <v>2844</v>
      </c>
      <c r="D108" s="24">
        <v>8</v>
      </c>
      <c r="E108" s="24" t="s">
        <v>2845</v>
      </c>
    </row>
    <row r="109" spans="1:5" ht="25.5" customHeight="1">
      <c r="A109" s="27" t="s">
        <v>2406</v>
      </c>
      <c r="B109" s="25" t="s">
        <v>278</v>
      </c>
      <c r="C109" s="24" t="s">
        <v>279</v>
      </c>
      <c r="D109" s="24"/>
      <c r="E109" s="24"/>
    </row>
    <row r="110" spans="1:5" ht="25.5" customHeight="1">
      <c r="A110" s="27" t="s">
        <v>2406</v>
      </c>
      <c r="B110" s="25" t="s">
        <v>482</v>
      </c>
      <c r="C110" s="24" t="s">
        <v>2846</v>
      </c>
      <c r="D110" s="24"/>
      <c r="E110" s="24"/>
    </row>
    <row r="111" spans="1:5" ht="25.5" customHeight="1">
      <c r="A111" s="27" t="s">
        <v>2406</v>
      </c>
      <c r="B111" s="25" t="s">
        <v>646</v>
      </c>
      <c r="C111" s="24" t="s">
        <v>647</v>
      </c>
      <c r="D111" s="24"/>
      <c r="E111" s="17"/>
    </row>
    <row r="112" spans="1:5" ht="25.5" customHeight="1">
      <c r="A112" s="27" t="s">
        <v>2406</v>
      </c>
      <c r="B112" s="25" t="s">
        <v>1020</v>
      </c>
      <c r="C112" s="24" t="s">
        <v>1021</v>
      </c>
      <c r="D112" s="24"/>
      <c r="E112" s="24" t="s">
        <v>2847</v>
      </c>
    </row>
    <row r="113" spans="1:5" ht="25.5" customHeight="1">
      <c r="A113" s="27" t="s">
        <v>2406</v>
      </c>
      <c r="B113" s="25" t="s">
        <v>1145</v>
      </c>
      <c r="C113" s="24" t="s">
        <v>1146</v>
      </c>
      <c r="D113" s="24"/>
      <c r="E113" s="24"/>
    </row>
    <row r="114" spans="1:5" ht="25.5" customHeight="1">
      <c r="A114" s="27" t="s">
        <v>2406</v>
      </c>
      <c r="B114" s="25" t="s">
        <v>1169</v>
      </c>
      <c r="C114" s="24" t="s">
        <v>1170</v>
      </c>
      <c r="D114" s="24"/>
      <c r="E114" s="24"/>
    </row>
    <row r="115" spans="1:5" ht="25.5" customHeight="1">
      <c r="A115" s="27" t="s">
        <v>2406</v>
      </c>
      <c r="B115" s="25" t="s">
        <v>1303</v>
      </c>
      <c r="C115" s="24" t="s">
        <v>1304</v>
      </c>
      <c r="D115" s="24"/>
      <c r="E115" s="24"/>
    </row>
    <row r="116" spans="1:5" ht="25.5" customHeight="1">
      <c r="A116" s="27" t="s">
        <v>2406</v>
      </c>
      <c r="B116" s="25" t="s">
        <v>1317</v>
      </c>
      <c r="C116" s="24" t="s">
        <v>1318</v>
      </c>
      <c r="D116" s="24"/>
      <c r="E116" s="24"/>
    </row>
    <row r="117" spans="1:5" ht="25.5" customHeight="1">
      <c r="A117" s="27" t="s">
        <v>2406</v>
      </c>
      <c r="B117" s="25" t="s">
        <v>2848</v>
      </c>
      <c r="C117" s="24" t="s">
        <v>2849</v>
      </c>
      <c r="D117" s="24"/>
      <c r="E117" s="24"/>
    </row>
    <row r="118" spans="1:5" ht="25.5" customHeight="1">
      <c r="A118" s="27" t="s">
        <v>2406</v>
      </c>
      <c r="B118" s="25" t="s">
        <v>1343</v>
      </c>
      <c r="C118" s="24" t="s">
        <v>1344</v>
      </c>
      <c r="D118" s="24"/>
      <c r="E118" s="24"/>
    </row>
    <row r="119" spans="1:5" ht="25.5" customHeight="1">
      <c r="A119" s="27" t="s">
        <v>2406</v>
      </c>
      <c r="B119" s="25" t="s">
        <v>1565</v>
      </c>
      <c r="C119" s="24" t="s">
        <v>1566</v>
      </c>
      <c r="D119" s="24"/>
      <c r="E119" s="24"/>
    </row>
    <row r="120" spans="1:5" ht="25.5" customHeight="1">
      <c r="A120" s="27" t="s">
        <v>2406</v>
      </c>
      <c r="B120" s="24" t="s">
        <v>1567</v>
      </c>
      <c r="C120" s="25" t="s">
        <v>1568</v>
      </c>
      <c r="D120" s="24"/>
      <c r="E120" s="24"/>
    </row>
    <row r="121" spans="1:5" ht="25.5" customHeight="1">
      <c r="A121" s="27" t="s">
        <v>2406</v>
      </c>
      <c r="B121" s="24" t="s">
        <v>2850</v>
      </c>
      <c r="C121" s="25" t="s">
        <v>1884</v>
      </c>
      <c r="D121" s="24"/>
      <c r="E121" s="24"/>
    </row>
    <row r="122" spans="1:5" ht="25.5" customHeight="1">
      <c r="A122" s="27" t="s">
        <v>2406</v>
      </c>
      <c r="B122" s="24" t="s">
        <v>2203</v>
      </c>
      <c r="C122" s="24" t="s">
        <v>2204</v>
      </c>
      <c r="D122" s="24"/>
      <c r="E122" s="24"/>
    </row>
    <row r="123" spans="1:5" ht="25.5" customHeight="1">
      <c r="A123" s="27" t="s">
        <v>2406</v>
      </c>
      <c r="B123" s="24" t="s">
        <v>2851</v>
      </c>
      <c r="C123" s="24" t="s">
        <v>1280</v>
      </c>
      <c r="D123" s="24"/>
      <c r="E123" s="24"/>
    </row>
    <row r="124" spans="1:5" ht="25.5" customHeight="1">
      <c r="A124" s="27" t="s">
        <v>2406</v>
      </c>
      <c r="B124" s="24" t="s">
        <v>1887</v>
      </c>
      <c r="C124" s="24" t="s">
        <v>2852</v>
      </c>
      <c r="D124" s="24"/>
      <c r="E124" s="24"/>
    </row>
    <row r="125" spans="1:5" ht="25.5" customHeight="1">
      <c r="A125" s="27" t="s">
        <v>2406</v>
      </c>
      <c r="B125" s="24" t="s">
        <v>2853</v>
      </c>
      <c r="C125" s="24" t="s">
        <v>2854</v>
      </c>
      <c r="D125" s="24"/>
      <c r="E125" s="24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82"/>
  <sheetViews>
    <sheetView showGridLines="0" workbookViewId="0">
      <pane ySplit="1" topLeftCell="A2" activePane="bottomLeft" state="frozen"/>
      <selection activeCell="C34" sqref="C34"/>
      <selection pane="bottomLeft" activeCell="C34" sqref="C34"/>
    </sheetView>
  </sheetViews>
  <sheetFormatPr defaultColWidth="12.5703125" defaultRowHeight="25.5" customHeight="1"/>
  <cols>
    <col min="1" max="1" width="16.140625" style="22" bestFit="1" customWidth="1"/>
    <col min="2" max="2" width="12.42578125" style="22" bestFit="1" customWidth="1"/>
    <col min="3" max="3" width="95.28515625" style="22" bestFit="1" customWidth="1"/>
    <col min="4" max="4" width="4.140625" style="22" bestFit="1" customWidth="1"/>
    <col min="5" max="5" width="91.5703125" style="22" bestFit="1" customWidth="1"/>
    <col min="6" max="16384" width="12.5703125" style="40"/>
  </cols>
  <sheetData>
    <row r="1" spans="1:22" ht="25.5" customHeight="1">
      <c r="A1" s="16" t="s">
        <v>2359</v>
      </c>
      <c r="B1" s="16" t="s">
        <v>0</v>
      </c>
      <c r="C1" s="16" t="s">
        <v>2360</v>
      </c>
      <c r="D1" s="16" t="s">
        <v>2361</v>
      </c>
      <c r="E1" s="16" t="s">
        <v>2362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25.5" customHeight="1">
      <c r="A2" s="23" t="s">
        <v>2363</v>
      </c>
      <c r="B2" s="24" t="s">
        <v>112</v>
      </c>
      <c r="C2" s="24" t="s">
        <v>113</v>
      </c>
      <c r="D2" s="24">
        <v>94</v>
      </c>
      <c r="E2" s="24" t="s">
        <v>2855</v>
      </c>
    </row>
    <row r="3" spans="1:22" ht="25.5" customHeight="1">
      <c r="A3" s="23" t="s">
        <v>2363</v>
      </c>
      <c r="B3" s="24" t="s">
        <v>136</v>
      </c>
      <c r="C3" s="24" t="s">
        <v>137</v>
      </c>
      <c r="D3" s="24">
        <v>63</v>
      </c>
      <c r="E3" s="24" t="s">
        <v>2856</v>
      </c>
    </row>
    <row r="4" spans="1:22" ht="25.5" customHeight="1">
      <c r="A4" s="23" t="s">
        <v>2363</v>
      </c>
      <c r="B4" s="24" t="s">
        <v>2857</v>
      </c>
      <c r="C4" s="24" t="s">
        <v>2858</v>
      </c>
      <c r="D4" s="24">
        <v>51</v>
      </c>
      <c r="E4" s="24" t="s">
        <v>2859</v>
      </c>
    </row>
    <row r="5" spans="1:22" ht="25.5" customHeight="1">
      <c r="A5" s="23" t="s">
        <v>2363</v>
      </c>
      <c r="B5" s="24" t="s">
        <v>2860</v>
      </c>
      <c r="C5" s="24" t="s">
        <v>2861</v>
      </c>
      <c r="D5" s="24">
        <v>46</v>
      </c>
      <c r="E5" s="24" t="s">
        <v>2862</v>
      </c>
    </row>
    <row r="6" spans="1:22" ht="25.5" customHeight="1">
      <c r="A6" s="23" t="s">
        <v>2363</v>
      </c>
      <c r="B6" s="24" t="s">
        <v>2863</v>
      </c>
      <c r="C6" s="24" t="s">
        <v>2864</v>
      </c>
      <c r="D6" s="24">
        <v>33</v>
      </c>
      <c r="E6" s="24" t="s">
        <v>2865</v>
      </c>
    </row>
    <row r="7" spans="1:22" ht="25.5" customHeight="1">
      <c r="A7" s="23" t="s">
        <v>2363</v>
      </c>
      <c r="B7" s="24" t="s">
        <v>2866</v>
      </c>
      <c r="C7" s="24" t="s">
        <v>2867</v>
      </c>
      <c r="D7" s="24">
        <v>33</v>
      </c>
      <c r="E7" s="24" t="s">
        <v>2868</v>
      </c>
    </row>
    <row r="8" spans="1:22" ht="25.5" customHeight="1">
      <c r="A8" s="23" t="s">
        <v>2363</v>
      </c>
      <c r="B8" s="24" t="s">
        <v>1509</v>
      </c>
      <c r="C8" s="24" t="s">
        <v>1510</v>
      </c>
      <c r="D8" s="24">
        <v>31</v>
      </c>
      <c r="E8" s="24" t="s">
        <v>2869</v>
      </c>
    </row>
    <row r="9" spans="1:22" ht="25.5" customHeight="1">
      <c r="A9" s="23" t="s">
        <v>2363</v>
      </c>
      <c r="B9" s="24" t="s">
        <v>2870</v>
      </c>
      <c r="C9" s="24" t="s">
        <v>2871</v>
      </c>
      <c r="D9" s="24">
        <v>27</v>
      </c>
      <c r="E9" s="24" t="s">
        <v>2872</v>
      </c>
    </row>
    <row r="10" spans="1:22" ht="25.5" customHeight="1">
      <c r="A10" s="23" t="s">
        <v>2363</v>
      </c>
      <c r="B10" s="24" t="s">
        <v>520</v>
      </c>
      <c r="C10" s="24" t="s">
        <v>521</v>
      </c>
      <c r="D10" s="24">
        <v>24</v>
      </c>
      <c r="E10" s="24" t="s">
        <v>2873</v>
      </c>
    </row>
    <row r="11" spans="1:22" ht="25.5" customHeight="1">
      <c r="A11" s="23" t="s">
        <v>2363</v>
      </c>
      <c r="B11" s="24" t="s">
        <v>2874</v>
      </c>
      <c r="C11" s="24" t="s">
        <v>693</v>
      </c>
      <c r="D11" s="24">
        <v>15</v>
      </c>
      <c r="E11" s="24" t="s">
        <v>2875</v>
      </c>
    </row>
    <row r="12" spans="1:22" ht="25.5" customHeight="1">
      <c r="A12" s="23" t="s">
        <v>2383</v>
      </c>
      <c r="B12" s="24" t="s">
        <v>2876</v>
      </c>
      <c r="C12" s="24" t="s">
        <v>2877</v>
      </c>
      <c r="D12" s="24">
        <v>22</v>
      </c>
      <c r="E12" s="24" t="s">
        <v>2878</v>
      </c>
    </row>
    <row r="13" spans="1:22" ht="25.5" customHeight="1">
      <c r="A13" s="26" t="s">
        <v>2383</v>
      </c>
      <c r="B13" s="24" t="s">
        <v>2879</v>
      </c>
      <c r="C13" s="24" t="s">
        <v>2880</v>
      </c>
      <c r="D13" s="24">
        <v>22</v>
      </c>
      <c r="E13" s="24" t="s">
        <v>2881</v>
      </c>
    </row>
    <row r="14" spans="1:22" ht="25.5" customHeight="1">
      <c r="A14" s="26" t="s">
        <v>2383</v>
      </c>
      <c r="B14" s="24" t="s">
        <v>2882</v>
      </c>
      <c r="C14" s="24" t="s">
        <v>2883</v>
      </c>
      <c r="D14" s="24">
        <v>19</v>
      </c>
      <c r="E14" s="24" t="s">
        <v>2884</v>
      </c>
    </row>
    <row r="15" spans="1:22" ht="25.5" customHeight="1">
      <c r="A15" s="26" t="s">
        <v>2383</v>
      </c>
      <c r="B15" s="24" t="s">
        <v>2885</v>
      </c>
      <c r="C15" s="24" t="s">
        <v>2886</v>
      </c>
      <c r="D15" s="24">
        <v>19</v>
      </c>
      <c r="E15" s="24" t="s">
        <v>2887</v>
      </c>
    </row>
    <row r="16" spans="1:22" ht="25.5" customHeight="1">
      <c r="A16" s="26" t="s">
        <v>2383</v>
      </c>
      <c r="B16" s="24" t="s">
        <v>2888</v>
      </c>
      <c r="C16" s="24" t="s">
        <v>2889</v>
      </c>
      <c r="D16" s="24">
        <v>18</v>
      </c>
      <c r="E16" s="24" t="s">
        <v>2890</v>
      </c>
    </row>
    <row r="17" spans="1:5" ht="25.5" customHeight="1">
      <c r="A17" s="26" t="s">
        <v>2383</v>
      </c>
      <c r="B17" s="24" t="s">
        <v>2891</v>
      </c>
      <c r="C17" s="24" t="s">
        <v>2892</v>
      </c>
      <c r="D17" s="24">
        <v>17</v>
      </c>
      <c r="E17" s="24" t="s">
        <v>2893</v>
      </c>
    </row>
    <row r="18" spans="1:5" ht="25.5" customHeight="1">
      <c r="A18" s="26" t="s">
        <v>2383</v>
      </c>
      <c r="B18" s="24" t="s">
        <v>2894</v>
      </c>
      <c r="C18" s="24" t="s">
        <v>2895</v>
      </c>
      <c r="D18" s="24">
        <v>16</v>
      </c>
      <c r="E18" s="24" t="s">
        <v>2896</v>
      </c>
    </row>
    <row r="19" spans="1:5" ht="25.5" customHeight="1">
      <c r="A19" s="26" t="s">
        <v>2383</v>
      </c>
      <c r="B19" s="24" t="s">
        <v>932</v>
      </c>
      <c r="C19" s="24" t="s">
        <v>2897</v>
      </c>
      <c r="D19" s="24">
        <v>15</v>
      </c>
      <c r="E19" s="24" t="s">
        <v>2898</v>
      </c>
    </row>
    <row r="20" spans="1:5" ht="25.5" customHeight="1">
      <c r="A20" s="26" t="s">
        <v>2383</v>
      </c>
      <c r="B20" s="24" t="s">
        <v>2899</v>
      </c>
      <c r="C20" s="24" t="s">
        <v>1546</v>
      </c>
      <c r="D20" s="24">
        <v>14</v>
      </c>
      <c r="E20" s="24" t="s">
        <v>2900</v>
      </c>
    </row>
    <row r="21" spans="1:5" ht="25.5" customHeight="1">
      <c r="A21" s="26" t="s">
        <v>2383</v>
      </c>
      <c r="B21" s="24" t="s">
        <v>2901</v>
      </c>
      <c r="C21" s="24" t="s">
        <v>2902</v>
      </c>
      <c r="D21" s="24">
        <v>11</v>
      </c>
      <c r="E21" s="24" t="s">
        <v>2903</v>
      </c>
    </row>
    <row r="22" spans="1:5" ht="25.5" customHeight="1">
      <c r="A22" s="26" t="s">
        <v>2406</v>
      </c>
      <c r="B22" s="24" t="s">
        <v>2904</v>
      </c>
      <c r="C22" s="24" t="s">
        <v>2905</v>
      </c>
      <c r="D22" s="24">
        <v>41</v>
      </c>
      <c r="E22" s="24" t="s">
        <v>2906</v>
      </c>
    </row>
    <row r="23" spans="1:5" ht="25.5" customHeight="1">
      <c r="A23" s="27" t="s">
        <v>2406</v>
      </c>
      <c r="B23" s="24" t="s">
        <v>538</v>
      </c>
      <c r="C23" s="24" t="s">
        <v>539</v>
      </c>
      <c r="D23" s="24">
        <v>40</v>
      </c>
      <c r="E23" s="24" t="s">
        <v>2907</v>
      </c>
    </row>
    <row r="24" spans="1:5" ht="25.5" customHeight="1">
      <c r="A24" s="27" t="s">
        <v>2406</v>
      </c>
      <c r="B24" s="24" t="s">
        <v>1137</v>
      </c>
      <c r="C24" s="24" t="s">
        <v>1138</v>
      </c>
      <c r="D24" s="24">
        <v>28</v>
      </c>
      <c r="E24" s="24" t="s">
        <v>2908</v>
      </c>
    </row>
    <row r="25" spans="1:5" ht="25.5" customHeight="1">
      <c r="A25" s="27" t="s">
        <v>2406</v>
      </c>
      <c r="B25" s="24" t="s">
        <v>1127</v>
      </c>
      <c r="C25" s="24" t="s">
        <v>1128</v>
      </c>
      <c r="D25" s="24">
        <v>27</v>
      </c>
      <c r="E25" s="24" t="s">
        <v>2909</v>
      </c>
    </row>
    <row r="26" spans="1:5" ht="25.5" customHeight="1">
      <c r="A26" s="27" t="s">
        <v>2406</v>
      </c>
      <c r="B26" s="24" t="s">
        <v>762</v>
      </c>
      <c r="C26" s="24" t="s">
        <v>763</v>
      </c>
      <c r="D26" s="24">
        <v>26</v>
      </c>
      <c r="E26" s="24" t="s">
        <v>2910</v>
      </c>
    </row>
    <row r="27" spans="1:5" ht="25.5" customHeight="1">
      <c r="A27" s="27" t="s">
        <v>2406</v>
      </c>
      <c r="B27" s="24" t="s">
        <v>66</v>
      </c>
      <c r="C27" s="24" t="s">
        <v>67</v>
      </c>
      <c r="D27" s="24">
        <v>25</v>
      </c>
      <c r="E27" s="24" t="s">
        <v>2911</v>
      </c>
    </row>
    <row r="28" spans="1:5" ht="25.5" customHeight="1">
      <c r="A28" s="27" t="s">
        <v>2406</v>
      </c>
      <c r="B28" s="24" t="s">
        <v>772</v>
      </c>
      <c r="C28" s="24" t="s">
        <v>773</v>
      </c>
      <c r="D28" s="24">
        <v>22</v>
      </c>
      <c r="E28" s="24" t="s">
        <v>2912</v>
      </c>
    </row>
    <row r="29" spans="1:5" ht="25.5" customHeight="1">
      <c r="A29" s="27" t="s">
        <v>2406</v>
      </c>
      <c r="B29" s="24" t="s">
        <v>1257</v>
      </c>
      <c r="C29" s="24" t="s">
        <v>1258</v>
      </c>
      <c r="D29" s="24">
        <v>19</v>
      </c>
      <c r="E29" s="24" t="s">
        <v>2913</v>
      </c>
    </row>
    <row r="30" spans="1:5" ht="25.5" customHeight="1">
      <c r="A30" s="27" t="s">
        <v>2406</v>
      </c>
      <c r="B30" s="24" t="s">
        <v>1581</v>
      </c>
      <c r="C30" s="24" t="s">
        <v>1582</v>
      </c>
      <c r="D30" s="24">
        <v>19</v>
      </c>
      <c r="E30" s="24" t="s">
        <v>2914</v>
      </c>
    </row>
    <row r="31" spans="1:5" ht="25.5" customHeight="1">
      <c r="A31" s="27" t="s">
        <v>2406</v>
      </c>
      <c r="B31" s="24" t="s">
        <v>2915</v>
      </c>
      <c r="C31" s="24" t="s">
        <v>2916</v>
      </c>
      <c r="D31" s="24">
        <v>19</v>
      </c>
      <c r="E31" s="24" t="s">
        <v>2917</v>
      </c>
    </row>
    <row r="32" spans="1:5" ht="25.5" customHeight="1">
      <c r="A32" s="27" t="s">
        <v>2406</v>
      </c>
      <c r="B32" s="24" t="s">
        <v>2918</v>
      </c>
      <c r="C32" s="24" t="s">
        <v>2919</v>
      </c>
      <c r="D32" s="24">
        <v>17</v>
      </c>
      <c r="E32" s="24" t="s">
        <v>2920</v>
      </c>
    </row>
    <row r="33" spans="1:5" ht="25.5" customHeight="1">
      <c r="A33" s="27" t="s">
        <v>2406</v>
      </c>
      <c r="B33" s="24" t="s">
        <v>2921</v>
      </c>
      <c r="C33" s="24" t="s">
        <v>2922</v>
      </c>
      <c r="D33" s="24">
        <v>17</v>
      </c>
      <c r="E33" s="24" t="s">
        <v>2923</v>
      </c>
    </row>
    <row r="34" spans="1:5" ht="25.5" customHeight="1">
      <c r="A34" s="27" t="s">
        <v>2406</v>
      </c>
      <c r="B34" s="24" t="s">
        <v>2924</v>
      </c>
      <c r="C34" s="24" t="s">
        <v>2925</v>
      </c>
      <c r="D34" s="24">
        <v>16</v>
      </c>
      <c r="E34" s="24" t="s">
        <v>2926</v>
      </c>
    </row>
    <row r="35" spans="1:5" ht="25.5" customHeight="1">
      <c r="A35" s="27" t="s">
        <v>2406</v>
      </c>
      <c r="B35" s="24" t="s">
        <v>2133</v>
      </c>
      <c r="C35" s="24" t="s">
        <v>2134</v>
      </c>
      <c r="D35" s="24">
        <v>15</v>
      </c>
      <c r="E35" s="24" t="s">
        <v>2927</v>
      </c>
    </row>
    <row r="36" spans="1:5" ht="25.5" customHeight="1">
      <c r="A36" s="27" t="s">
        <v>2406</v>
      </c>
      <c r="B36" s="24" t="s">
        <v>2928</v>
      </c>
      <c r="C36" s="24" t="s">
        <v>2929</v>
      </c>
      <c r="D36" s="24">
        <v>15</v>
      </c>
      <c r="E36" s="24" t="s">
        <v>2930</v>
      </c>
    </row>
    <row r="37" spans="1:5" ht="25.5" customHeight="1">
      <c r="A37" s="27" t="s">
        <v>2406</v>
      </c>
      <c r="B37" s="24" t="s">
        <v>2931</v>
      </c>
      <c r="C37" s="24" t="s">
        <v>2932</v>
      </c>
      <c r="D37" s="24">
        <v>14</v>
      </c>
      <c r="E37" s="24" t="s">
        <v>2933</v>
      </c>
    </row>
    <row r="38" spans="1:5" ht="25.5" customHeight="1">
      <c r="A38" s="27" t="s">
        <v>2406</v>
      </c>
      <c r="B38" s="24" t="s">
        <v>1207</v>
      </c>
      <c r="C38" s="24" t="s">
        <v>1208</v>
      </c>
      <c r="D38" s="24">
        <v>14</v>
      </c>
      <c r="E38" s="24" t="s">
        <v>2934</v>
      </c>
    </row>
    <row r="39" spans="1:5" ht="25.5" customHeight="1">
      <c r="A39" s="27" t="s">
        <v>2406</v>
      </c>
      <c r="B39" s="24" t="s">
        <v>2935</v>
      </c>
      <c r="C39" s="24" t="s">
        <v>2936</v>
      </c>
      <c r="D39" s="24">
        <v>14</v>
      </c>
      <c r="E39" s="24" t="s">
        <v>2937</v>
      </c>
    </row>
    <row r="40" spans="1:5" ht="25.5" customHeight="1">
      <c r="A40" s="27" t="s">
        <v>2406</v>
      </c>
      <c r="B40" s="24" t="s">
        <v>2938</v>
      </c>
      <c r="C40" s="24" t="s">
        <v>2939</v>
      </c>
      <c r="D40" s="24">
        <v>14</v>
      </c>
      <c r="E40" s="24" t="s">
        <v>2940</v>
      </c>
    </row>
    <row r="41" spans="1:5" ht="25.5" customHeight="1">
      <c r="A41" s="27" t="s">
        <v>2406</v>
      </c>
      <c r="B41" s="24" t="s">
        <v>2941</v>
      </c>
      <c r="C41" s="24" t="s">
        <v>2942</v>
      </c>
      <c r="D41" s="24">
        <v>14</v>
      </c>
      <c r="E41" s="24" t="s">
        <v>2943</v>
      </c>
    </row>
    <row r="42" spans="1:5" ht="25.5" customHeight="1">
      <c r="A42" s="27" t="s">
        <v>2406</v>
      </c>
      <c r="B42" s="24" t="s">
        <v>2944</v>
      </c>
      <c r="C42" s="24" t="s">
        <v>695</v>
      </c>
      <c r="D42" s="24">
        <v>13</v>
      </c>
      <c r="E42" s="24" t="s">
        <v>2945</v>
      </c>
    </row>
    <row r="43" spans="1:5" ht="25.5" customHeight="1">
      <c r="A43" s="27" t="s">
        <v>2406</v>
      </c>
      <c r="B43" s="24" t="s">
        <v>2946</v>
      </c>
      <c r="C43" s="24" t="s">
        <v>2947</v>
      </c>
      <c r="D43" s="24">
        <v>13</v>
      </c>
      <c r="E43" s="24" t="s">
        <v>2948</v>
      </c>
    </row>
    <row r="44" spans="1:5" ht="25.5" customHeight="1">
      <c r="A44" s="27" t="s">
        <v>2406</v>
      </c>
      <c r="B44" s="24" t="s">
        <v>2949</v>
      </c>
      <c r="C44" s="24" t="s">
        <v>2950</v>
      </c>
      <c r="D44" s="24">
        <v>13</v>
      </c>
      <c r="E44" s="24" t="s">
        <v>2951</v>
      </c>
    </row>
    <row r="45" spans="1:5" ht="25.5" customHeight="1">
      <c r="A45" s="27" t="s">
        <v>2406</v>
      </c>
      <c r="B45" s="24" t="s">
        <v>2952</v>
      </c>
      <c r="C45" s="24" t="s">
        <v>2953</v>
      </c>
      <c r="D45" s="24">
        <v>13</v>
      </c>
      <c r="E45" s="24" t="s">
        <v>2954</v>
      </c>
    </row>
    <row r="46" spans="1:5" ht="25.5" customHeight="1">
      <c r="A46" s="27" t="s">
        <v>2406</v>
      </c>
      <c r="B46" s="24" t="s">
        <v>2955</v>
      </c>
      <c r="C46" s="24" t="s">
        <v>2956</v>
      </c>
      <c r="D46" s="24">
        <v>13</v>
      </c>
      <c r="E46" s="24" t="s">
        <v>2957</v>
      </c>
    </row>
    <row r="47" spans="1:5" ht="25.5" customHeight="1">
      <c r="A47" s="27" t="s">
        <v>2406</v>
      </c>
      <c r="B47" s="24" t="s">
        <v>2958</v>
      </c>
      <c r="C47" s="24" t="s">
        <v>2959</v>
      </c>
      <c r="D47" s="24">
        <v>13</v>
      </c>
      <c r="E47" s="24" t="s">
        <v>2960</v>
      </c>
    </row>
    <row r="48" spans="1:5" ht="25.5" customHeight="1">
      <c r="A48" s="27" t="s">
        <v>2406</v>
      </c>
      <c r="B48" s="24" t="s">
        <v>696</v>
      </c>
      <c r="C48" s="24" t="s">
        <v>697</v>
      </c>
      <c r="D48" s="24">
        <v>12</v>
      </c>
      <c r="E48" s="24" t="s">
        <v>2961</v>
      </c>
    </row>
    <row r="49" spans="1:5" ht="25.5" customHeight="1">
      <c r="A49" s="27" t="s">
        <v>2406</v>
      </c>
      <c r="B49" s="24" t="s">
        <v>2544</v>
      </c>
      <c r="C49" s="24" t="s">
        <v>2545</v>
      </c>
      <c r="D49" s="24">
        <v>12</v>
      </c>
      <c r="E49" s="24" t="s">
        <v>2962</v>
      </c>
    </row>
    <row r="50" spans="1:5" ht="25.5" customHeight="1">
      <c r="A50" s="27" t="s">
        <v>2406</v>
      </c>
      <c r="B50" s="24" t="s">
        <v>1399</v>
      </c>
      <c r="C50" s="24" t="s">
        <v>2963</v>
      </c>
      <c r="D50" s="24">
        <v>12</v>
      </c>
      <c r="E50" s="24" t="s">
        <v>2964</v>
      </c>
    </row>
    <row r="51" spans="1:5" ht="25.5" customHeight="1">
      <c r="A51" s="27" t="s">
        <v>2406</v>
      </c>
      <c r="B51" s="24" t="s">
        <v>2965</v>
      </c>
      <c r="C51" s="108" t="s">
        <v>2966</v>
      </c>
      <c r="D51" s="108"/>
      <c r="E51" s="24" t="s">
        <v>2967</v>
      </c>
    </row>
    <row r="52" spans="1:5" ht="25.5" customHeight="1">
      <c r="A52" s="27" t="s">
        <v>2406</v>
      </c>
      <c r="B52" s="24" t="s">
        <v>2968</v>
      </c>
      <c r="C52" s="24" t="s">
        <v>2969</v>
      </c>
      <c r="D52" s="24">
        <v>11</v>
      </c>
      <c r="E52" s="24" t="s">
        <v>2970</v>
      </c>
    </row>
    <row r="53" spans="1:5" ht="25.5" customHeight="1">
      <c r="A53" s="27" t="s">
        <v>2406</v>
      </c>
      <c r="B53" s="24" t="s">
        <v>2971</v>
      </c>
      <c r="C53" s="24" t="s">
        <v>2972</v>
      </c>
      <c r="D53" s="24">
        <v>10</v>
      </c>
      <c r="E53" s="24" t="s">
        <v>2973</v>
      </c>
    </row>
    <row r="54" spans="1:5" ht="25.5" customHeight="1">
      <c r="A54" s="27" t="s">
        <v>2406</v>
      </c>
      <c r="B54" s="24" t="s">
        <v>2974</v>
      </c>
      <c r="C54" s="24" t="s">
        <v>2975</v>
      </c>
      <c r="D54" s="24">
        <v>9</v>
      </c>
      <c r="E54" s="24" t="s">
        <v>2976</v>
      </c>
    </row>
    <row r="55" spans="1:5" ht="25.5" customHeight="1">
      <c r="A55" s="27" t="s">
        <v>2406</v>
      </c>
      <c r="B55" s="24" t="s">
        <v>2977</v>
      </c>
      <c r="C55" s="24" t="s">
        <v>2978</v>
      </c>
      <c r="D55" s="24">
        <v>8</v>
      </c>
      <c r="E55" s="24" t="s">
        <v>2979</v>
      </c>
    </row>
    <row r="56" spans="1:5" ht="25.5" customHeight="1">
      <c r="A56" s="27" t="s">
        <v>2406</v>
      </c>
      <c r="B56" s="24" t="s">
        <v>2980</v>
      </c>
      <c r="C56" s="24" t="s">
        <v>2981</v>
      </c>
      <c r="D56" s="24">
        <v>7</v>
      </c>
      <c r="E56" s="24" t="s">
        <v>2982</v>
      </c>
    </row>
    <row r="57" spans="1:5" ht="25.5" customHeight="1">
      <c r="A57" s="27" t="s">
        <v>2406</v>
      </c>
      <c r="B57" s="24" t="s">
        <v>2983</v>
      </c>
      <c r="C57" s="24" t="s">
        <v>2984</v>
      </c>
      <c r="D57" s="24">
        <v>7</v>
      </c>
      <c r="E57" s="24" t="s">
        <v>2985</v>
      </c>
    </row>
    <row r="58" spans="1:5" ht="25.5" customHeight="1">
      <c r="A58" s="27" t="s">
        <v>2406</v>
      </c>
      <c r="B58" s="24" t="s">
        <v>2986</v>
      </c>
      <c r="C58" s="24" t="s">
        <v>2987</v>
      </c>
      <c r="D58" s="24">
        <v>7</v>
      </c>
      <c r="E58" s="24" t="s">
        <v>2988</v>
      </c>
    </row>
    <row r="59" spans="1:5" ht="25.5" customHeight="1">
      <c r="A59" s="27" t="s">
        <v>2406</v>
      </c>
      <c r="B59" s="24" t="s">
        <v>2989</v>
      </c>
      <c r="C59" s="24" t="s">
        <v>2990</v>
      </c>
      <c r="D59" s="24">
        <v>4</v>
      </c>
      <c r="E59" s="24" t="s">
        <v>2991</v>
      </c>
    </row>
    <row r="60" spans="1:5" ht="25.5" customHeight="1">
      <c r="A60" s="27" t="s">
        <v>2406</v>
      </c>
      <c r="B60" s="24" t="s">
        <v>2992</v>
      </c>
      <c r="C60" s="24" t="s">
        <v>2993</v>
      </c>
      <c r="D60" s="24">
        <v>4</v>
      </c>
      <c r="E60" s="24" t="s">
        <v>2994</v>
      </c>
    </row>
    <row r="61" spans="1:5" ht="25.5" customHeight="1">
      <c r="A61" s="27" t="s">
        <v>2406</v>
      </c>
      <c r="B61" s="24" t="s">
        <v>2995</v>
      </c>
      <c r="C61" s="108" t="s">
        <v>2996</v>
      </c>
      <c r="D61" s="108"/>
      <c r="E61" s="24" t="s">
        <v>2997</v>
      </c>
    </row>
    <row r="62" spans="1:5" ht="25.5" customHeight="1">
      <c r="A62" s="27" t="s">
        <v>2406</v>
      </c>
      <c r="B62" s="24" t="s">
        <v>2998</v>
      </c>
      <c r="C62" s="24" t="s">
        <v>2264</v>
      </c>
      <c r="D62" s="24"/>
      <c r="E62" s="24"/>
    </row>
    <row r="63" spans="1:5" ht="25.5" customHeight="1">
      <c r="A63" s="27" t="s">
        <v>2406</v>
      </c>
      <c r="B63" s="24" t="s">
        <v>2999</v>
      </c>
      <c r="C63" s="24" t="s">
        <v>3000</v>
      </c>
      <c r="D63" s="24"/>
      <c r="E63" s="24"/>
    </row>
    <row r="64" spans="1:5" ht="25.5" customHeight="1">
      <c r="A64" s="27" t="s">
        <v>2406</v>
      </c>
      <c r="B64" s="24" t="s">
        <v>3001</v>
      </c>
      <c r="C64" s="24" t="s">
        <v>3002</v>
      </c>
      <c r="D64" s="24"/>
      <c r="E64" s="24"/>
    </row>
    <row r="65" spans="1:5" ht="25.5" customHeight="1">
      <c r="A65" s="27" t="s">
        <v>2406</v>
      </c>
      <c r="B65" s="24" t="s">
        <v>3003</v>
      </c>
      <c r="C65" s="24" t="s">
        <v>3004</v>
      </c>
      <c r="D65" s="24"/>
      <c r="E65" s="24"/>
    </row>
    <row r="66" spans="1:5" ht="25.5" customHeight="1">
      <c r="A66" s="27" t="s">
        <v>2406</v>
      </c>
      <c r="B66" s="24" t="s">
        <v>3005</v>
      </c>
      <c r="C66" s="108" t="s">
        <v>3006</v>
      </c>
      <c r="D66" s="108"/>
      <c r="E66" s="24"/>
    </row>
    <row r="67" spans="1:5" ht="25.5" customHeight="1">
      <c r="A67" s="27" t="s">
        <v>2406</v>
      </c>
      <c r="B67" s="24" t="s">
        <v>3007</v>
      </c>
      <c r="C67" s="24" t="s">
        <v>1108</v>
      </c>
      <c r="D67" s="24"/>
      <c r="E67" s="24"/>
    </row>
    <row r="68" spans="1:5" ht="25.5" customHeight="1">
      <c r="A68" s="27" t="s">
        <v>2406</v>
      </c>
      <c r="B68" s="24" t="s">
        <v>3008</v>
      </c>
      <c r="C68" s="24" t="s">
        <v>3009</v>
      </c>
      <c r="D68" s="24"/>
      <c r="E68" s="24"/>
    </row>
    <row r="69" spans="1:5" ht="25.5" customHeight="1">
      <c r="A69" s="27" t="s">
        <v>2406</v>
      </c>
      <c r="B69" s="24" t="s">
        <v>3010</v>
      </c>
      <c r="C69" s="24" t="s">
        <v>3011</v>
      </c>
      <c r="D69" s="24"/>
      <c r="E69" s="24"/>
    </row>
    <row r="70" spans="1:5" ht="25.5" customHeight="1">
      <c r="A70" s="27" t="s">
        <v>2406</v>
      </c>
      <c r="B70" s="24" t="s">
        <v>1933</v>
      </c>
      <c r="C70" s="24" t="s">
        <v>1934</v>
      </c>
      <c r="D70" s="24"/>
      <c r="E70" s="24"/>
    </row>
    <row r="71" spans="1:5" ht="25.5" customHeight="1">
      <c r="A71" s="27" t="s">
        <v>2406</v>
      </c>
      <c r="B71" s="24" t="s">
        <v>1351</v>
      </c>
      <c r="C71" s="24" t="s">
        <v>1352</v>
      </c>
      <c r="D71" s="24"/>
      <c r="E71" s="24"/>
    </row>
    <row r="72" spans="1:5" ht="25.5" customHeight="1">
      <c r="A72" s="27" t="s">
        <v>2406</v>
      </c>
      <c r="B72" s="24" t="s">
        <v>3012</v>
      </c>
      <c r="C72" s="24" t="s">
        <v>3013</v>
      </c>
      <c r="D72" s="24"/>
      <c r="E72" s="24"/>
    </row>
    <row r="73" spans="1:5" ht="25.5" customHeight="1">
      <c r="A73" s="27" t="s">
        <v>2406</v>
      </c>
      <c r="B73" s="24" t="s">
        <v>3014</v>
      </c>
      <c r="C73" s="24" t="s">
        <v>3015</v>
      </c>
      <c r="D73" s="24"/>
      <c r="E73" s="24"/>
    </row>
    <row r="74" spans="1:5" ht="25.5" customHeight="1">
      <c r="A74" s="27" t="s">
        <v>2406</v>
      </c>
      <c r="B74" s="24" t="s">
        <v>3016</v>
      </c>
      <c r="C74" s="24" t="s">
        <v>3017</v>
      </c>
      <c r="D74" s="24"/>
      <c r="E74" s="24"/>
    </row>
    <row r="75" spans="1:5" ht="25.5" customHeight="1">
      <c r="A75" s="27" t="s">
        <v>2406</v>
      </c>
      <c r="B75" s="24" t="s">
        <v>3018</v>
      </c>
      <c r="C75" s="24" t="s">
        <v>3019</v>
      </c>
      <c r="D75" s="24"/>
      <c r="E75" s="24"/>
    </row>
    <row r="76" spans="1:5" ht="25.5" customHeight="1">
      <c r="A76" s="27" t="s">
        <v>2406</v>
      </c>
      <c r="B76" s="24" t="s">
        <v>2025</v>
      </c>
      <c r="C76" s="24" t="s">
        <v>2026</v>
      </c>
      <c r="D76" s="24"/>
      <c r="E76" s="24"/>
    </row>
    <row r="77" spans="1:5" ht="25.5" customHeight="1">
      <c r="A77" s="27" t="s">
        <v>2406</v>
      </c>
      <c r="B77" s="24" t="s">
        <v>3020</v>
      </c>
      <c r="C77" s="24" t="s">
        <v>2026</v>
      </c>
      <c r="D77" s="24"/>
      <c r="E77" s="24"/>
    </row>
    <row r="78" spans="1:5" ht="25.5" customHeight="1">
      <c r="A78" s="27" t="s">
        <v>2406</v>
      </c>
      <c r="B78" s="24" t="s">
        <v>3021</v>
      </c>
      <c r="C78" s="24" t="s">
        <v>3022</v>
      </c>
      <c r="D78" s="24"/>
      <c r="E78" s="24"/>
    </row>
    <row r="79" spans="1:5" ht="25.5" customHeight="1">
      <c r="A79" s="27" t="s">
        <v>2406</v>
      </c>
      <c r="B79" s="24" t="s">
        <v>3023</v>
      </c>
      <c r="C79" s="24" t="s">
        <v>3024</v>
      </c>
      <c r="D79" s="24"/>
      <c r="E79" s="24"/>
    </row>
    <row r="80" spans="1:5" ht="25.5" customHeight="1">
      <c r="A80" s="27" t="s">
        <v>2406</v>
      </c>
      <c r="B80" s="24" t="s">
        <v>3025</v>
      </c>
      <c r="C80" s="24" t="s">
        <v>3026</v>
      </c>
      <c r="D80" s="24"/>
      <c r="E80" s="24"/>
    </row>
    <row r="81" spans="1:5" ht="25.5" customHeight="1">
      <c r="A81" s="27" t="s">
        <v>2406</v>
      </c>
      <c r="B81" s="24" t="s">
        <v>3027</v>
      </c>
      <c r="C81" s="24" t="s">
        <v>3028</v>
      </c>
      <c r="D81" s="24"/>
      <c r="E81" s="24"/>
    </row>
    <row r="82" spans="1:5" ht="25.5" customHeight="1">
      <c r="A82" s="27" t="s">
        <v>2406</v>
      </c>
      <c r="B82" s="24" t="s">
        <v>3029</v>
      </c>
      <c r="C82" s="24" t="s">
        <v>3030</v>
      </c>
      <c r="D82" s="24"/>
      <c r="E82" s="24"/>
    </row>
  </sheetData>
  <mergeCells count="3">
    <mergeCell ref="C51:D51"/>
    <mergeCell ref="C61:D61"/>
    <mergeCell ref="C66:D6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53"/>
  <sheetViews>
    <sheetView showGridLines="0" workbookViewId="0">
      <pane ySplit="1" topLeftCell="A2" activePane="bottomLeft" state="frozen"/>
      <selection activeCell="C34" sqref="C34"/>
      <selection pane="bottomLeft" activeCell="C34" sqref="C34"/>
    </sheetView>
  </sheetViews>
  <sheetFormatPr defaultColWidth="12.5703125" defaultRowHeight="25.5" customHeight="1"/>
  <cols>
    <col min="1" max="1" width="16.140625" style="22" bestFit="1" customWidth="1"/>
    <col min="2" max="2" width="15.85546875" style="22" bestFit="1" customWidth="1"/>
    <col min="3" max="3" width="92.85546875" style="22" bestFit="1" customWidth="1"/>
    <col min="4" max="4" width="4.140625" style="22" bestFit="1" customWidth="1"/>
    <col min="5" max="5" width="94" style="22" bestFit="1" customWidth="1"/>
    <col min="6" max="16384" width="12.5703125" style="22"/>
  </cols>
  <sheetData>
    <row r="1" spans="1:22" ht="25.5" customHeight="1">
      <c r="A1" s="16" t="str">
        <f ca="1">IFERROR(__xludf.DUMMYFUNCTION("importrange(""https://docs.google.com/spreadsheets/d/1T1E2THFZsxLETLyAt6Kx67aOqmwkuvf6E3agRNeA2ak/edit#gid=1856373577"",""CE-SEG!A1:J150"")"),"TOP")</f>
        <v>TOP</v>
      </c>
      <c r="B1" s="16" t="str">
        <f ca="1">IFERROR(__xludf.DUMMYFUNCTION("""COMPUTED_VALUE"""),"SIGLA")</f>
        <v>SIGLA</v>
      </c>
      <c r="C1" s="16" t="str">
        <f ca="1">IFERROR(__xludf.DUMMYFUNCTION("""COMPUTED_VALUE"""),"NOME")</f>
        <v>NOME</v>
      </c>
      <c r="D1" s="16" t="str">
        <f ca="1">IFERROR(__xludf.DUMMYFUNCTION("""COMPUTED_VALUE"""),"H5")</f>
        <v>H5</v>
      </c>
      <c r="E1" s="16" t="str">
        <f ca="1">IFERROR(__xludf.DUMMYFUNCTION("""COMPUTED_VALUE"""),"GOOGLE METRICS LINK")</f>
        <v>GOOGLE METRICS LINK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25.5" customHeight="1">
      <c r="A2" s="23" t="str">
        <f ca="1">IFERROR(__xludf.DUMMYFUNCTION("""COMPUTED_VALUE"""),"Top 10")</f>
        <v>Top 10</v>
      </c>
      <c r="B2" s="24" t="str">
        <f ca="1">IFERROR(__xludf.DUMMYFUNCTION("""COMPUTED_VALUE"""),"ACM CCS")</f>
        <v>ACM CCS</v>
      </c>
      <c r="C2" s="24" t="str">
        <f ca="1">IFERROR(__xludf.DUMMYFUNCTION("""COMPUTED_VALUE"""),"ACM Symposium on Computer and Communications Security")</f>
        <v>ACM Symposium on Computer and Communications Security</v>
      </c>
      <c r="D2" s="24">
        <f ca="1">IFERROR(__xludf.DUMMYFUNCTION("""COMPUTED_VALUE"""),77)</f>
        <v>77</v>
      </c>
      <c r="E2" s="24" t="str">
        <f ca="1">IFERROR(__xludf.DUMMYFUNCTION("""COMPUTED_VALUE"""),"https://scholar.google.com/citations?hl=en&amp;view_op=list_hcore&amp;venue=Pg42P_rbavwJ.2018")</f>
        <v>https://scholar.google.com/citations?hl=en&amp;view_op=list_hcore&amp;venue=Pg42P_rbavwJ.2018</v>
      </c>
      <c r="F2" s="41"/>
      <c r="G2" s="41"/>
      <c r="H2" s="41"/>
    </row>
    <row r="3" spans="1:22" ht="25.5" customHeight="1">
      <c r="A3" s="23" t="str">
        <f ca="1">IFERROR(__xludf.DUMMYFUNCTION("""COMPUTED_VALUE"""),"Top 10")</f>
        <v>Top 10</v>
      </c>
      <c r="B3" s="24" t="str">
        <f ca="1">IFERROR(__xludf.DUMMYFUNCTION("""COMPUTED_VALUE"""),"S&amp;P")</f>
        <v>S&amp;P</v>
      </c>
      <c r="C3" s="24" t="str">
        <f ca="1">IFERROR(__xludf.DUMMYFUNCTION("""COMPUTED_VALUE"""),"IEEE Symposium on Security and Privacy")</f>
        <v>IEEE Symposium on Security and Privacy</v>
      </c>
      <c r="D3" s="24">
        <f ca="1">IFERROR(__xludf.DUMMYFUNCTION("""COMPUTED_VALUE"""),74)</f>
        <v>74</v>
      </c>
      <c r="E3" s="24" t="str">
        <f ca="1">IFERROR(__xludf.DUMMYFUNCTION("""COMPUTED_VALUE"""),"https://scholar.google.com/citations?hl=en&amp;view_op=list_hcore&amp;venue=cyrroHz3a0YJ.2018")</f>
        <v>https://scholar.google.com/citations?hl=en&amp;view_op=list_hcore&amp;venue=cyrroHz3a0YJ.2018</v>
      </c>
      <c r="F3" s="41"/>
      <c r="G3" s="41"/>
      <c r="H3" s="41"/>
    </row>
    <row r="4" spans="1:22" ht="25.5" customHeight="1">
      <c r="A4" s="23" t="str">
        <f ca="1">IFERROR(__xludf.DUMMYFUNCTION("""COMPUTED_VALUE"""),"Top 10")</f>
        <v>Top 10</v>
      </c>
      <c r="B4" s="24" t="str">
        <f ca="1">IFERROR(__xludf.DUMMYFUNCTION("""COMPUTED_VALUE"""),"USENIX Security")</f>
        <v>USENIX Security</v>
      </c>
      <c r="C4" s="24" t="str">
        <f ca="1">IFERROR(__xludf.DUMMYFUNCTION("""COMPUTED_VALUE"""),"USENIX Security Symposium")</f>
        <v>USENIX Security Symposium</v>
      </c>
      <c r="D4" s="24">
        <f ca="1">IFERROR(__xludf.DUMMYFUNCTION("""COMPUTED_VALUE"""),70)</f>
        <v>70</v>
      </c>
      <c r="E4" s="24" t="str">
        <f ca="1">IFERROR(__xludf.DUMMYFUNCTION("""COMPUTED_VALUE"""),"https://scholar.google.com/citations?hl=en&amp;view_op=list_hcore&amp;venue=HSHJIaLyN9IJ.2018")</f>
        <v>https://scholar.google.com/citations?hl=en&amp;view_op=list_hcore&amp;venue=HSHJIaLyN9IJ.2018</v>
      </c>
      <c r="F4" s="41"/>
      <c r="G4" s="41"/>
      <c r="H4" s="41"/>
    </row>
    <row r="5" spans="1:22" ht="25.5" customHeight="1">
      <c r="A5" s="23" t="str">
        <f ca="1">IFERROR(__xludf.DUMMYFUNCTION("""COMPUTED_VALUE"""),"Top 10")</f>
        <v>Top 10</v>
      </c>
      <c r="B5" s="24" t="str">
        <f ca="1">IFERROR(__xludf.DUMMYFUNCTION("""COMPUTED_VALUE"""),"CRYPTO")</f>
        <v>CRYPTO</v>
      </c>
      <c r="C5" s="24" t="str">
        <f ca="1">IFERROR(__xludf.DUMMYFUNCTION("""COMPUTED_VALUE"""),"International Cryptology Conference")</f>
        <v>International Cryptology Conference</v>
      </c>
      <c r="D5" s="24">
        <f ca="1">IFERROR(__xludf.DUMMYFUNCTION("""COMPUTED_VALUE"""),62)</f>
        <v>62</v>
      </c>
      <c r="E5" s="24" t="str">
        <f ca="1">IFERROR(__xludf.DUMMYFUNCTION("""COMPUTED_VALUE"""),"https://scholar.google.com/citations?hl=en&amp;view_op=list_hcore&amp;venue=nqcB6RwzhMQJ.2018")</f>
        <v>https://scholar.google.com/citations?hl=en&amp;view_op=list_hcore&amp;venue=nqcB6RwzhMQJ.2018</v>
      </c>
      <c r="F5" s="41"/>
      <c r="G5" s="41"/>
      <c r="H5" s="41"/>
    </row>
    <row r="6" spans="1:22" ht="25.5" customHeight="1">
      <c r="A6" s="23" t="str">
        <f ca="1">IFERROR(__xludf.DUMMYFUNCTION("""COMPUTED_VALUE"""),"Top 10")</f>
        <v>Top 10</v>
      </c>
      <c r="B6" s="24" t="str">
        <f ca="1">IFERROR(__xludf.DUMMYFUNCTION("""COMPUTED_VALUE"""),"NDSS")</f>
        <v>NDSS</v>
      </c>
      <c r="C6" s="24" t="str">
        <f ca="1">IFERROR(__xludf.DUMMYFUNCTION("""COMPUTED_VALUE"""),"Network and Distributed System Security Symposium")</f>
        <v>Network and Distributed System Security Symposium</v>
      </c>
      <c r="D6" s="24">
        <f ca="1">IFERROR(__xludf.DUMMYFUNCTION("""COMPUTED_VALUE"""),60)</f>
        <v>60</v>
      </c>
      <c r="E6" s="24" t="str">
        <f ca="1">IFERROR(__xludf.DUMMYFUNCTION("""COMPUTED_VALUE"""),"https://scholar.google.com/citations?hl=en&amp;view_op=list_hcore&amp;venue=q2FcImd5qbgJ.2018")</f>
        <v>https://scholar.google.com/citations?hl=en&amp;view_op=list_hcore&amp;venue=q2FcImd5qbgJ.2018</v>
      </c>
      <c r="F6" s="41"/>
      <c r="G6" s="41"/>
      <c r="H6" s="41"/>
    </row>
    <row r="7" spans="1:22" ht="25.5" customHeight="1">
      <c r="A7" s="23" t="str">
        <f ca="1">IFERROR(__xludf.DUMMYFUNCTION("""COMPUTED_VALUE"""),"Top 10")</f>
        <v>Top 10</v>
      </c>
      <c r="B7" s="24" t="str">
        <f ca="1">IFERROR(__xludf.DUMMYFUNCTION("""COMPUTED_VALUE"""),"EUROCRYPT")</f>
        <v>EUROCRYPT</v>
      </c>
      <c r="C7" s="24" t="str">
        <f ca="1">IFERROR(__xludf.DUMMYFUNCTION("""COMPUTED_VALUE"""),"International Conference on Theory and Applications of Cryptographic Techniques")</f>
        <v>International Conference on Theory and Applications of Cryptographic Techniques</v>
      </c>
      <c r="D7" s="24">
        <f ca="1">IFERROR(__xludf.DUMMYFUNCTION("""COMPUTED_VALUE"""),53)</f>
        <v>53</v>
      </c>
      <c r="E7" s="24" t="str">
        <f ca="1">IFERROR(__xludf.DUMMYFUNCTION("""COMPUTED_VALUE"""),"https://scholar.google.com/citations?hl=en&amp;view_op=list_hcore&amp;venue=fsZsNTm7Eh8J.2018")</f>
        <v>https://scholar.google.com/citations?hl=en&amp;view_op=list_hcore&amp;venue=fsZsNTm7Eh8J.2018</v>
      </c>
      <c r="F7" s="41"/>
      <c r="G7" s="41"/>
      <c r="H7" s="41"/>
    </row>
    <row r="8" spans="1:22" ht="25.5" customHeight="1">
      <c r="A8" s="23" t="str">
        <f ca="1">IFERROR(__xludf.DUMMYFUNCTION("""COMPUTED_VALUE"""),"Top 10")</f>
        <v>Top 10</v>
      </c>
      <c r="B8" s="24" t="str">
        <f ca="1">IFERROR(__xludf.DUMMYFUNCTION("""COMPUTED_VALUE"""),"ASIACRYPT")</f>
        <v>ASIACRYPT</v>
      </c>
      <c r="C8" s="24" t="str">
        <f ca="1">IFERROR(__xludf.DUMMYFUNCTION("""COMPUTED_VALUE"""),"International Conference on The Theory and Application of Cryptology and Information Security")</f>
        <v>International Conference on The Theory and Application of Cryptology and Information Security</v>
      </c>
      <c r="D8" s="24">
        <f ca="1">IFERROR(__xludf.DUMMYFUNCTION("""COMPUTED_VALUE"""),37)</f>
        <v>37</v>
      </c>
      <c r="E8" s="24" t="str">
        <f ca="1">IFERROR(__xludf.DUMMYFUNCTION("""COMPUTED_VALUE"""),"https://scholar.google.com/citations?hl=en&amp;view_op=list_hcore&amp;venue=hxrvQsnJSDMJ.2018")</f>
        <v>https://scholar.google.com/citations?hl=en&amp;view_op=list_hcore&amp;venue=hxrvQsnJSDMJ.2018</v>
      </c>
      <c r="F8" s="41"/>
      <c r="G8" s="41"/>
      <c r="H8" s="41"/>
    </row>
    <row r="9" spans="1:22" ht="25.5" customHeight="1">
      <c r="A9" s="23" t="str">
        <f ca="1">IFERROR(__xludf.DUMMYFUNCTION("""COMPUTED_VALUE"""),"Top 10")</f>
        <v>Top 10</v>
      </c>
      <c r="B9" s="24" t="str">
        <f ca="1">IFERROR(__xludf.DUMMYFUNCTION("""COMPUTED_VALUE"""),"FC")</f>
        <v>FC</v>
      </c>
      <c r="C9" s="24" t="str">
        <f ca="1">IFERROR(__xludf.DUMMYFUNCTION("""COMPUTED_VALUE"""),"International Conference on Financial Cryptography and Data Security")</f>
        <v>International Conference on Financial Cryptography and Data Security</v>
      </c>
      <c r="D9" s="24">
        <f ca="1">IFERROR(__xludf.DUMMYFUNCTION("""COMPUTED_VALUE"""),37)</f>
        <v>37</v>
      </c>
      <c r="E9" s="24" t="str">
        <f ca="1">IFERROR(__xludf.DUMMYFUNCTION("""COMPUTED_VALUE"""),"https://scholar.google.com/citations?hl=en&amp;view_op=list_hcore&amp;venue=gVeDacK3aQwJ.2018")</f>
        <v>https://scholar.google.com/citations?hl=en&amp;view_op=list_hcore&amp;venue=gVeDacK3aQwJ.2018</v>
      </c>
      <c r="F9" s="41"/>
      <c r="G9" s="41"/>
      <c r="H9" s="41"/>
    </row>
    <row r="10" spans="1:22" ht="25.5" customHeight="1">
      <c r="A10" s="23" t="str">
        <f ca="1">IFERROR(__xludf.DUMMYFUNCTION("""COMPUTED_VALUE"""),"Top 10")</f>
        <v>Top 10</v>
      </c>
      <c r="B10" s="24" t="str">
        <f ca="1">IFERROR(__xludf.DUMMYFUNCTION("""COMPUTED_VALUE"""),"ASIACCS")</f>
        <v>ASIACCS</v>
      </c>
      <c r="C10" s="24" t="str">
        <f ca="1">IFERROR(__xludf.DUMMYFUNCTION("""COMPUTED_VALUE"""),"ACM Symposium on Information, Computer and Communications Security")</f>
        <v>ACM Symposium on Information, Computer and Communications Security</v>
      </c>
      <c r="D10" s="24">
        <f ca="1">IFERROR(__xludf.DUMMYFUNCTION("""COMPUTED_VALUE"""),36)</f>
        <v>36</v>
      </c>
      <c r="E10" s="24" t="str">
        <f ca="1">IFERROR(__xludf.DUMMYFUNCTION("""COMPUTED_VALUE"""),"https://scholar.google.com/citations?hl=en&amp;view_op=list_hcore&amp;venue=3VLtGPwkq54J.2018")</f>
        <v>https://scholar.google.com/citations?hl=en&amp;view_op=list_hcore&amp;venue=3VLtGPwkq54J.2018</v>
      </c>
      <c r="F10" s="41"/>
      <c r="G10" s="41"/>
      <c r="H10" s="41"/>
    </row>
    <row r="11" spans="1:22" ht="25.5" customHeight="1">
      <c r="A11" s="23" t="str">
        <f ca="1">IFERROR(__xludf.DUMMYFUNCTION("""COMPUTED_VALUE"""),"Top 10")</f>
        <v>Top 10</v>
      </c>
      <c r="B11" s="24" t="str">
        <f ca="1">IFERROR(__xludf.DUMMYFUNCTION("""COMPUTED_VALUE"""),"CHES")</f>
        <v>CHES</v>
      </c>
      <c r="C11" s="24" t="str">
        <f ca="1">IFERROR(__xludf.DUMMYFUNCTION("""COMPUTED_VALUE"""),"Workshop on Cryptographic Hardware and Embedded Systems")</f>
        <v>Workshop on Cryptographic Hardware and Embedded Systems</v>
      </c>
      <c r="D11" s="24">
        <f ca="1">IFERROR(__xludf.DUMMYFUNCTION("""COMPUTED_VALUE"""),36)</f>
        <v>36</v>
      </c>
      <c r="E11" s="24" t="str">
        <f ca="1">IFERROR(__xludf.DUMMYFUNCTION("""COMPUTED_VALUE"""),"https://scholar.google.com/citations?hl=en&amp;view_op=list_hcore&amp;venue=fxQZq2l4GcMJ.2018")</f>
        <v>https://scholar.google.com/citations?hl=en&amp;view_op=list_hcore&amp;venue=fxQZq2l4GcMJ.2018</v>
      </c>
      <c r="F11" s="41"/>
      <c r="G11" s="41"/>
      <c r="H11" s="41"/>
    </row>
    <row r="12" spans="1:22" ht="25.5" customHeight="1">
      <c r="A12" s="26" t="str">
        <f ca="1">IFERROR(__xludf.DUMMYFUNCTION("""COMPUTED_VALUE"""),"Top 20")</f>
        <v>Top 20</v>
      </c>
      <c r="B12" s="24" t="str">
        <f ca="1">IFERROR(__xludf.DUMMYFUNCTION("""COMPUTED_VALUE"""),"TCC")</f>
        <v>TCC</v>
      </c>
      <c r="C12" s="24" t="str">
        <f ca="1">IFERROR(__xludf.DUMMYFUNCTION("""COMPUTED_VALUE"""),"Theory of Cryptography")</f>
        <v>Theory of Cryptography</v>
      </c>
      <c r="D12" s="24">
        <f ca="1">IFERROR(__xludf.DUMMYFUNCTION("""COMPUTED_VALUE"""),34)</f>
        <v>34</v>
      </c>
      <c r="E12" s="24" t="str">
        <f ca="1">IFERROR(__xludf.DUMMYFUNCTION("""COMPUTED_VALUE"""),"https://scholar.google.com/citations?hl=en&amp;view_op=list_hcore&amp;venue=JP81m6yJpiEJ.2018")</f>
        <v>https://scholar.google.com/citations?hl=en&amp;view_op=list_hcore&amp;venue=JP81m6yJpiEJ.2018</v>
      </c>
      <c r="F12" s="41"/>
      <c r="G12" s="41"/>
      <c r="H12" s="41"/>
    </row>
    <row r="13" spans="1:22" ht="25.5" customHeight="1">
      <c r="A13" s="26" t="str">
        <f ca="1">IFERROR(__xludf.DUMMYFUNCTION("""COMPUTED_VALUE"""),"Top 20")</f>
        <v>Top 20</v>
      </c>
      <c r="B13" s="24" t="str">
        <f ca="1">IFERROR(__xludf.DUMMYFUNCTION("""COMPUTED_VALUE"""),"SOUPS")</f>
        <v>SOUPS</v>
      </c>
      <c r="C13" s="24" t="str">
        <f ca="1">IFERROR(__xludf.DUMMYFUNCTION("""COMPUTED_VALUE"""),"Symposium On Usable Privacy and Security")</f>
        <v>Symposium On Usable Privacy and Security</v>
      </c>
      <c r="D13" s="24">
        <f ca="1">IFERROR(__xludf.DUMMYFUNCTION("""COMPUTED_VALUE"""),31)</f>
        <v>31</v>
      </c>
      <c r="E13" s="24" t="str">
        <f ca="1">IFERROR(__xludf.DUMMYFUNCTION("""COMPUTED_VALUE"""),"https://scholar.google.com/citations?hl=en&amp;view_op=list_hcore&amp;venue=d6VxAyLWqWgJ.2018")</f>
        <v>https://scholar.google.com/citations?hl=en&amp;view_op=list_hcore&amp;venue=d6VxAyLWqWgJ.2018</v>
      </c>
      <c r="F13" s="41"/>
      <c r="G13" s="41"/>
      <c r="H13" s="41"/>
    </row>
    <row r="14" spans="1:22" ht="25.5" customHeight="1">
      <c r="A14" s="26" t="str">
        <f ca="1">IFERROR(__xludf.DUMMYFUNCTION("""COMPUTED_VALUE"""),"Top 20")</f>
        <v>Top 20</v>
      </c>
      <c r="B14" s="24" t="str">
        <f ca="1">IFERROR(__xludf.DUMMYFUNCTION("""COMPUTED_VALUE"""),"PKC")</f>
        <v>PKC</v>
      </c>
      <c r="C14" s="24" t="str">
        <f ca="1">IFERROR(__xludf.DUMMYFUNCTION("""COMPUTED_VALUE"""),"International Conference on Practice and Theory in Public Key Cryptography")</f>
        <v>International Conference on Practice and Theory in Public Key Cryptography</v>
      </c>
      <c r="D14" s="24">
        <f ca="1">IFERROR(__xludf.DUMMYFUNCTION("""COMPUTED_VALUE"""),29)</f>
        <v>29</v>
      </c>
      <c r="E14" s="24" t="str">
        <f ca="1">IFERROR(__xludf.DUMMYFUNCTION("""COMPUTED_VALUE"""),"https://scholar.google.com/citations?hl=en&amp;view_op=list_hcore&amp;venue=6gqvYwOFvq0J.2018")</f>
        <v>https://scholar.google.com/citations?hl=en&amp;view_op=list_hcore&amp;venue=6gqvYwOFvq0J.2018</v>
      </c>
      <c r="F14" s="41"/>
      <c r="G14" s="41"/>
      <c r="H14" s="41"/>
    </row>
    <row r="15" spans="1:22" ht="25.5" customHeight="1">
      <c r="A15" s="26" t="str">
        <f ca="1">IFERROR(__xludf.DUMMYFUNCTION("""COMPUTED_VALUE"""),"Top 20")</f>
        <v>Top 20</v>
      </c>
      <c r="B15" s="24" t="str">
        <f ca="1">IFERROR(__xludf.DUMMYFUNCTION("""COMPUTED_VALUE"""),"FSE")</f>
        <v>FSE</v>
      </c>
      <c r="C15" s="24" t="str">
        <f ca="1">IFERROR(__xludf.DUMMYFUNCTION("""COMPUTED_VALUE"""),"Fast Software Encryption")</f>
        <v>Fast Software Encryption</v>
      </c>
      <c r="D15" s="24">
        <f ca="1">IFERROR(__xludf.DUMMYFUNCTION("""COMPUTED_VALUE"""),29)</f>
        <v>29</v>
      </c>
      <c r="E15" s="24" t="str">
        <f ca="1">IFERROR(__xludf.DUMMYFUNCTION("""COMPUTED_VALUE"""),"https://scholar.google.com/citations?hl=en&amp;view_op=list_hcore&amp;venue=u0EMblNmhEoJ.2018")</f>
        <v>https://scholar.google.com/citations?hl=en&amp;view_op=list_hcore&amp;venue=u0EMblNmhEoJ.2018</v>
      </c>
      <c r="F15" s="41"/>
      <c r="G15" s="41"/>
      <c r="H15" s="41"/>
    </row>
    <row r="16" spans="1:22" ht="25.5" customHeight="1">
      <c r="A16" s="26" t="str">
        <f ca="1">IFERROR(__xludf.DUMMYFUNCTION("""COMPUTED_VALUE"""),"Top 20")</f>
        <v>Top 20</v>
      </c>
      <c r="B16" s="24" t="str">
        <f ca="1">IFERROR(__xludf.DUMMYFUNCTION("""COMPUTED_VALUE"""),"ACSAC")</f>
        <v>ACSAC</v>
      </c>
      <c r="C16" s="24" t="str">
        <f ca="1">IFERROR(__xludf.DUMMYFUNCTION("""COMPUTED_VALUE"""),"Computer Security Applications Conference")</f>
        <v>Computer Security Applications Conference</v>
      </c>
      <c r="D16" s="24">
        <f ca="1">IFERROR(__xludf.DUMMYFUNCTION("""COMPUTED_VALUE"""),28)</f>
        <v>28</v>
      </c>
      <c r="E16" s="24" t="str">
        <f ca="1">IFERROR(__xludf.DUMMYFUNCTION("""COMPUTED_VALUE"""),"https://scholar.google.com/citations?hl=en&amp;view_op=list_hcore&amp;venue=88oopSfS28MJ.2018")</f>
        <v>https://scholar.google.com/citations?hl=en&amp;view_op=list_hcore&amp;venue=88oopSfS28MJ.2018</v>
      </c>
      <c r="F16" s="41"/>
      <c r="G16" s="41"/>
      <c r="H16" s="41"/>
    </row>
    <row r="17" spans="1:8" ht="25.5" customHeight="1">
      <c r="A17" s="26" t="str">
        <f ca="1">IFERROR(__xludf.DUMMYFUNCTION("""COMPUTED_VALUE"""),"Top 20")</f>
        <v>Top 20</v>
      </c>
      <c r="B17" s="24" t="str">
        <f ca="1">IFERROR(__xludf.DUMMYFUNCTION("""COMPUTED_VALUE"""),"ESORICS")</f>
        <v>ESORICS</v>
      </c>
      <c r="C17" s="24" t="str">
        <f ca="1">IFERROR(__xludf.DUMMYFUNCTION("""COMPUTED_VALUE"""),"European Conference on Research in Computer Security")</f>
        <v>European Conference on Research in Computer Security</v>
      </c>
      <c r="D17" s="24">
        <f ca="1">IFERROR(__xludf.DUMMYFUNCTION("""COMPUTED_VALUE"""),28)</f>
        <v>28</v>
      </c>
      <c r="E17" s="24" t="str">
        <f ca="1">IFERROR(__xludf.DUMMYFUNCTION("""COMPUTED_VALUE"""),"https://scholar.google.com/citations?hl=en&amp;view_op=list_hcore&amp;venue=x1AY1yaO1mQJ.2018")</f>
        <v>https://scholar.google.com/citations?hl=en&amp;view_op=list_hcore&amp;venue=x1AY1yaO1mQJ.2018</v>
      </c>
      <c r="F17" s="41"/>
      <c r="G17" s="41"/>
      <c r="H17" s="41"/>
    </row>
    <row r="18" spans="1:8" ht="25.5" customHeight="1">
      <c r="A18" s="26" t="str">
        <f ca="1">IFERROR(__xludf.DUMMYFUNCTION("""COMPUTED_VALUE"""),"Top 20")</f>
        <v>Top 20</v>
      </c>
      <c r="B18" s="24" t="str">
        <f ca="1">IFERROR(__xludf.DUMMYFUNCTION("""COMPUTED_VALUE"""),"CODASPY")</f>
        <v>CODASPY</v>
      </c>
      <c r="C18" s="24" t="str">
        <f ca="1">IFERROR(__xludf.DUMMYFUNCTION("""COMPUTED_VALUE"""),"ACM Conference on Data and Application Security and Privacy")</f>
        <v>ACM Conference on Data and Application Security and Privacy</v>
      </c>
      <c r="D18" s="24">
        <f ca="1">IFERROR(__xludf.DUMMYFUNCTION("""COMPUTED_VALUE"""),28)</f>
        <v>28</v>
      </c>
      <c r="E18" s="24" t="str">
        <f ca="1">IFERROR(__xludf.DUMMYFUNCTION("""COMPUTED_VALUE"""),"https://scholar.google.com/citations?hl=en&amp;view_op=list_hcore&amp;venue=LWRwHw7mGBMJ.2018")</f>
        <v>https://scholar.google.com/citations?hl=en&amp;view_op=list_hcore&amp;venue=LWRwHw7mGBMJ.2018</v>
      </c>
      <c r="F18" s="41"/>
      <c r="G18" s="41"/>
      <c r="H18" s="41"/>
    </row>
    <row r="19" spans="1:8" ht="25.5" customHeight="1">
      <c r="A19" s="26" t="str">
        <f ca="1">IFERROR(__xludf.DUMMYFUNCTION("""COMPUTED_VALUE"""),"Top 20")</f>
        <v>Top 20</v>
      </c>
      <c r="B19" s="24" t="str">
        <f ca="1">IFERROR(__xludf.DUMMYFUNCTION("""COMPUTED_VALUE"""),"HOST")</f>
        <v>HOST</v>
      </c>
      <c r="C19" s="24" t="str">
        <f ca="1">IFERROR(__xludf.DUMMYFUNCTION("""COMPUTED_VALUE"""),"IEEE International Symposium on Hardware-Oriented Security and Trust")</f>
        <v>IEEE International Symposium on Hardware-Oriented Security and Trust</v>
      </c>
      <c r="D19" s="24">
        <f ca="1">IFERROR(__xludf.DUMMYFUNCTION("""COMPUTED_VALUE"""),25)</f>
        <v>25</v>
      </c>
      <c r="E19" s="24" t="str">
        <f ca="1">IFERROR(__xludf.DUMMYFUNCTION("""COMPUTED_VALUE"""),"https://scholar.google.com/citations?hl=en&amp;view_op=list_hcore&amp;venue=_3T_r4GbfNcJ.2018")</f>
        <v>https://scholar.google.com/citations?hl=en&amp;view_op=list_hcore&amp;venue=_3T_r4GbfNcJ.2018</v>
      </c>
      <c r="F19" s="41"/>
      <c r="G19" s="41"/>
      <c r="H19" s="41"/>
    </row>
    <row r="20" spans="1:8" ht="25.5" customHeight="1">
      <c r="A20" s="26" t="str">
        <f ca="1">IFERROR(__xludf.DUMMYFUNCTION("""COMPUTED_VALUE"""),"Top 20")</f>
        <v>Top 20</v>
      </c>
      <c r="B20" s="24" t="str">
        <f ca="1">IFERROR(__xludf.DUMMYFUNCTION("""COMPUTED_VALUE"""),"TrustCom")</f>
        <v>TrustCom</v>
      </c>
      <c r="C20" s="24" t="str">
        <f ca="1">IFERROR(__xludf.DUMMYFUNCTION("""COMPUTED_VALUE"""),"IEEE International Conference on Trust, Security and Privacy in Computing and Communications")</f>
        <v>IEEE International Conference on Trust, Security and Privacy in Computing and Communications</v>
      </c>
      <c r="D20" s="24">
        <f ca="1">IFERROR(__xludf.DUMMYFUNCTION("""COMPUTED_VALUE"""),24)</f>
        <v>24</v>
      </c>
      <c r="E20" s="24" t="str">
        <f ca="1">IFERROR(__xludf.DUMMYFUNCTION("""COMPUTED_VALUE"""),"https://scholar.google.com/citations?hl=en&amp;view_op=list_hcore&amp;venue=eMr22KXtlXcJ.2018")</f>
        <v>https://scholar.google.com/citations?hl=en&amp;view_op=list_hcore&amp;venue=eMr22KXtlXcJ.2018</v>
      </c>
      <c r="F20" s="41"/>
      <c r="G20" s="41"/>
      <c r="H20" s="41"/>
    </row>
    <row r="21" spans="1:8" ht="25.5" customHeight="1">
      <c r="A21" s="26" t="str">
        <f ca="1">IFERROR(__xludf.DUMMYFUNCTION("""COMPUTED_VALUE"""),"Top 20")</f>
        <v>Top 20</v>
      </c>
      <c r="B21" s="24" t="str">
        <f ca="1">IFERROR(__xludf.DUMMYFUNCTION("""COMPUTED_VALUE"""),"SBSeg")</f>
        <v>SBSeg</v>
      </c>
      <c r="C21" s="24" t="str">
        <f ca="1">IFERROR(__xludf.DUMMYFUNCTION("""COMPUTED_VALUE"""),"Simpósio Brasileiro em Segurança da Informação e de Sistemas Computacionais")</f>
        <v>Simpósio Brasileiro em Segurança da Informação e de Sistemas Computacionais</v>
      </c>
      <c r="D21" s="24"/>
      <c r="E21" s="24" t="str">
        <f ca="1">IFERROR(__xludf.DUMMYFUNCTION("""COMPUTED_VALUE"""),"O SBSeg é o principal evento de Segurança da informação e Sistemas Computacionais do país.")</f>
        <v>O SBSeg é o principal evento de Segurança da informação e Sistemas Computacionais do país.</v>
      </c>
      <c r="F21" s="41"/>
      <c r="G21" s="41"/>
      <c r="H21" s="41"/>
    </row>
    <row r="22" spans="1:8" ht="25.5" customHeight="1">
      <c r="A22" s="27" t="str">
        <f ca="1">IFERROR(__xludf.DUMMYFUNCTION("""COMPUTED_VALUE"""),"Eventos da Área")</f>
        <v>Eventos da Área</v>
      </c>
      <c r="B22" s="24" t="str">
        <f ca="1">IFERROR(__xludf.DUMMYFUNCTION("""COMPUTED_VALUE"""),"CSF")</f>
        <v>CSF</v>
      </c>
      <c r="C22" s="24" t="str">
        <f ca="1">IFERROR(__xludf.DUMMYFUNCTION("""COMPUTED_VALUE"""),"IEEE Computer Security Foundations Symposium")</f>
        <v>IEEE Computer Security Foundations Symposium</v>
      </c>
      <c r="D22" s="24">
        <f ca="1">IFERROR(__xludf.DUMMYFUNCTION("""COMPUTED_VALUE"""),24)</f>
        <v>24</v>
      </c>
      <c r="E22" s="24" t="str">
        <f ca="1">IFERROR(__xludf.DUMMYFUNCTION("""COMPUTED_VALUE"""),"https://scholar.google.com/citations?hl=en&amp;view_op=list_hcore&amp;venue=5Sz4yUnI16AJ.2018")</f>
        <v>https://scholar.google.com/citations?hl=en&amp;view_op=list_hcore&amp;venue=5Sz4yUnI16AJ.2018</v>
      </c>
      <c r="F22" s="41"/>
      <c r="G22" s="41"/>
      <c r="H22" s="41"/>
    </row>
    <row r="23" spans="1:8" ht="25.5" customHeight="1">
      <c r="A23" s="27" t="str">
        <f ca="1">IFERROR(__xludf.DUMMYFUNCTION("""COMPUTED_VALUE"""),"Eventos da Área")</f>
        <v>Eventos da Área</v>
      </c>
      <c r="B23" s="24" t="str">
        <f ca="1">IFERROR(__xludf.DUMMYFUNCTION("""COMPUTED_VALUE"""),"ACNS")</f>
        <v>ACNS</v>
      </c>
      <c r="C23" s="24" t="str">
        <f ca="1">IFERROR(__xludf.DUMMYFUNCTION("""COMPUTED_VALUE"""),"Applied Cryptography and Network Security")</f>
        <v>Applied Cryptography and Network Security</v>
      </c>
      <c r="D23" s="24">
        <f ca="1">IFERROR(__xludf.DUMMYFUNCTION("""COMPUTED_VALUE"""),22)</f>
        <v>22</v>
      </c>
      <c r="E23" s="24" t="str">
        <f ca="1">IFERROR(__xludf.DUMMYFUNCTION("""COMPUTED_VALUE"""),"https://scholar.google.com/citations?hl=en&amp;view_op=list_hcore&amp;venue=uX6tRrNG0lQJ.2018")</f>
        <v>https://scholar.google.com/citations?hl=en&amp;view_op=list_hcore&amp;venue=uX6tRrNG0lQJ.2018</v>
      </c>
      <c r="F23" s="41"/>
      <c r="G23" s="41"/>
      <c r="H23" s="41"/>
    </row>
    <row r="24" spans="1:8" ht="25.5" customHeight="1">
      <c r="A24" s="27" t="str">
        <f ca="1">IFERROR(__xludf.DUMMYFUNCTION("""COMPUTED_VALUE"""),"Eventos da Área")</f>
        <v>Eventos da Área</v>
      </c>
      <c r="B24" s="24" t="str">
        <f ca="1">IFERROR(__xludf.DUMMYFUNCTION("""COMPUTED_VALUE"""),"SAC")</f>
        <v>SAC</v>
      </c>
      <c r="C24" s="24" t="str">
        <f ca="1">IFERROR(__xludf.DUMMYFUNCTION("""COMPUTED_VALUE"""),"International Conference on Selected Areas in Cryptography")</f>
        <v>International Conference on Selected Areas in Cryptography</v>
      </c>
      <c r="D24" s="24">
        <f ca="1">IFERROR(__xludf.DUMMYFUNCTION("""COMPUTED_VALUE"""),22)</f>
        <v>22</v>
      </c>
      <c r="E24" s="24" t="str">
        <f ca="1">IFERROR(__xludf.DUMMYFUNCTION("""COMPUTED_VALUE"""),"https://scholar.google.com/citations?hl=en&amp;view_op=list_hcore&amp;venue=8C-rTF6UiesJ.2018")</f>
        <v>https://scholar.google.com/citations?hl=en&amp;view_op=list_hcore&amp;venue=8C-rTF6UiesJ.2018</v>
      </c>
      <c r="F24" s="41"/>
      <c r="G24" s="41"/>
      <c r="H24" s="41"/>
    </row>
    <row r="25" spans="1:8" ht="25.5" customHeight="1">
      <c r="A25" s="27" t="str">
        <f ca="1">IFERROR(__xludf.DUMMYFUNCTION("""COMPUTED_VALUE"""),"Eventos da Área")</f>
        <v>Eventos da Área</v>
      </c>
      <c r="B25" s="24" t="str">
        <f ca="1">IFERROR(__xludf.DUMMYFUNCTION("""COMPUTED_VALUE"""),"WISEC")</f>
        <v>WISEC</v>
      </c>
      <c r="C25" s="24" t="str">
        <f ca="1">IFERROR(__xludf.DUMMYFUNCTION("""COMPUTED_VALUE"""),"Wireless Network Security")</f>
        <v>Wireless Network Security</v>
      </c>
      <c r="D25" s="24">
        <f ca="1">IFERROR(__xludf.DUMMYFUNCTION("""COMPUTED_VALUE"""),22)</f>
        <v>22</v>
      </c>
      <c r="E25" s="24" t="str">
        <f ca="1">IFERROR(__xludf.DUMMYFUNCTION("""COMPUTED_VALUE"""),"https://scholar.google.com/citations?hl=en&amp;view_op=list_hcore&amp;venue=JDO_KUA4CYMJ.2018")</f>
        <v>https://scholar.google.com/citations?hl=en&amp;view_op=list_hcore&amp;venue=JDO_KUA4CYMJ.2018</v>
      </c>
      <c r="F25" s="41"/>
      <c r="G25" s="41"/>
      <c r="H25" s="41"/>
    </row>
    <row r="26" spans="1:8" ht="25.5" customHeight="1">
      <c r="A26" s="27" t="str">
        <f ca="1">IFERROR(__xludf.DUMMYFUNCTION("""COMPUTED_VALUE"""),"Eventos da Área")</f>
        <v>Eventos da Área</v>
      </c>
      <c r="B26" s="24" t="str">
        <f ca="1">IFERROR(__xludf.DUMMYFUNCTION("""COMPUTED_VALUE"""),"CNS")</f>
        <v>CNS</v>
      </c>
      <c r="C26" s="24" t="str">
        <f ca="1">IFERROR(__xludf.DUMMYFUNCTION("""COMPUTED_VALUE"""),"IEEE Conference on Communications and Network Security")</f>
        <v>IEEE Conference on Communications and Network Security</v>
      </c>
      <c r="D26" s="24">
        <f ca="1">IFERROR(__xludf.DUMMYFUNCTION("""COMPUTED_VALUE"""),21)</f>
        <v>21</v>
      </c>
      <c r="E26" s="24" t="str">
        <f ca="1">IFERROR(__xludf.DUMMYFUNCTION("""COMPUTED_VALUE"""),"https://scholar.google.com/citations?hl=en&amp;view_op=list_hcore&amp;venue=nZuTYevUj1wJ.2019")</f>
        <v>https://scholar.google.com/citations?hl=en&amp;view_op=list_hcore&amp;venue=nZuTYevUj1wJ.2019</v>
      </c>
      <c r="F26" s="41"/>
      <c r="G26" s="41"/>
      <c r="H26" s="41"/>
    </row>
    <row r="27" spans="1:8" ht="25.5" customHeight="1">
      <c r="A27" s="27" t="str">
        <f ca="1">IFERROR(__xludf.DUMMYFUNCTION("""COMPUTED_VALUE"""),"Eventos da Área")</f>
        <v>Eventos da Área</v>
      </c>
      <c r="B27" s="24" t="str">
        <f ca="1">IFERROR(__xludf.DUMMYFUNCTION("""COMPUTED_VALUE"""),"RAID")</f>
        <v>RAID</v>
      </c>
      <c r="C27" s="24" t="str">
        <f ca="1">IFERROR(__xludf.DUMMYFUNCTION("""COMPUTED_VALUE"""),"International Symposium on Research in Attacks, Intrusions, and Defenses")</f>
        <v>International Symposium on Research in Attacks, Intrusions, and Defenses</v>
      </c>
      <c r="D27" s="24">
        <f ca="1">IFERROR(__xludf.DUMMYFUNCTION("""COMPUTED_VALUE"""),20)</f>
        <v>20</v>
      </c>
      <c r="E27" s="24" t="str">
        <f ca="1">IFERROR(__xludf.DUMMYFUNCTION("""COMPUTED_VALUE"""),"https://scholar.google.com/citations?hl=en&amp;view_op=list_hcore&amp;venue=826ERjda8dUJ.2018")</f>
        <v>https://scholar.google.com/citations?hl=en&amp;view_op=list_hcore&amp;venue=826ERjda8dUJ.2018</v>
      </c>
      <c r="F27" s="41"/>
      <c r="G27" s="41"/>
      <c r="H27" s="41"/>
    </row>
    <row r="28" spans="1:8" ht="25.5" customHeight="1">
      <c r="A28" s="27" t="str">
        <f ca="1">IFERROR(__xludf.DUMMYFUNCTION("""COMPUTED_VALUE"""),"Eventos da Área")</f>
        <v>Eventos da Área</v>
      </c>
      <c r="B28" s="24" t="str">
        <f ca="1">IFERROR(__xludf.DUMMYFUNCTION("""COMPUTED_VALUE"""),"WPES")</f>
        <v>WPES</v>
      </c>
      <c r="C28" s="24" t="str">
        <f ca="1">IFERROR(__xludf.DUMMYFUNCTION("""COMPUTED_VALUE"""),"Annual ACM workshop on Privacy in the electronic society")</f>
        <v>Annual ACM workshop on Privacy in the electronic society</v>
      </c>
      <c r="D28" s="24">
        <f ca="1">IFERROR(__xludf.DUMMYFUNCTION("""COMPUTED_VALUE"""),20)</f>
        <v>20</v>
      </c>
      <c r="E28" s="24" t="str">
        <f ca="1">IFERROR(__xludf.DUMMYFUNCTION("""COMPUTED_VALUE"""),"https://scholar.google.com/citations?hl=en&amp;view_op=list_hcore&amp;venue=pUbmTvcLFnQJ.2018")</f>
        <v>https://scholar.google.com/citations?hl=en&amp;view_op=list_hcore&amp;venue=pUbmTvcLFnQJ.2018</v>
      </c>
      <c r="F28" s="41"/>
      <c r="G28" s="41"/>
      <c r="H28" s="41"/>
    </row>
    <row r="29" spans="1:8" ht="25.5" customHeight="1">
      <c r="A29" s="27" t="str">
        <f ca="1">IFERROR(__xludf.DUMMYFUNCTION("""COMPUTED_VALUE"""),"Eventos da Área")</f>
        <v>Eventos da Área</v>
      </c>
      <c r="B29" s="24" t="str">
        <f ca="1">IFERROR(__xludf.DUMMYFUNCTION("""COMPUTED_VALUE"""),"PETS")</f>
        <v>PETS</v>
      </c>
      <c r="C29" s="24" t="str">
        <f ca="1">IFERROR(__xludf.DUMMYFUNCTION("""COMPUTED_VALUE"""),"Proceedings on Privacy Enhancing Technologies")</f>
        <v>Proceedings on Privacy Enhancing Technologies</v>
      </c>
      <c r="D29" s="24">
        <f ca="1">IFERROR(__xludf.DUMMYFUNCTION("""COMPUTED_VALUE"""),19)</f>
        <v>19</v>
      </c>
      <c r="E29" s="24" t="str">
        <f ca="1">IFERROR(__xludf.DUMMYFUNCTION("""COMPUTED_VALUE"""),"https://scholar.google.com/citations?hl=en&amp;view_op=list_hcore&amp;venue=JXbjzvN-escJ.2018")</f>
        <v>https://scholar.google.com/citations?hl=en&amp;view_op=list_hcore&amp;venue=JXbjzvN-escJ.2018</v>
      </c>
      <c r="F29" s="41"/>
      <c r="G29" s="41"/>
      <c r="H29" s="41"/>
    </row>
    <row r="30" spans="1:8" ht="25.5" customHeight="1">
      <c r="A30" s="27" t="str">
        <f ca="1">IFERROR(__xludf.DUMMYFUNCTION("""COMPUTED_VALUE"""),"Eventos da Área")</f>
        <v>Eventos da Área</v>
      </c>
      <c r="B30" s="24" t="str">
        <f ca="1">IFERROR(__xludf.DUMMYFUNCTION("""COMPUTED_VALUE"""),"ARES")</f>
        <v>ARES</v>
      </c>
      <c r="C30" s="24" t="str">
        <f ca="1">IFERROR(__xludf.DUMMYFUNCTION("""COMPUTED_VALUE"""),"International Conference on Availability, Reliability and Security")</f>
        <v>International Conference on Availability, Reliability and Security</v>
      </c>
      <c r="D30" s="24">
        <f ca="1">IFERROR(__xludf.DUMMYFUNCTION("""COMPUTED_VALUE"""),19)</f>
        <v>19</v>
      </c>
      <c r="E30" s="24" t="str">
        <f ca="1">IFERROR(__xludf.DUMMYFUNCTION("""COMPUTED_VALUE"""),"https://scholar.google.com/citations?hl=en&amp;view_op=list_hcore&amp;venue=GIrj2BSjfiwJ.2018")</f>
        <v>https://scholar.google.com/citations?hl=en&amp;view_op=list_hcore&amp;venue=GIrj2BSjfiwJ.2018</v>
      </c>
      <c r="F30" s="41"/>
      <c r="G30" s="41"/>
      <c r="H30" s="41"/>
    </row>
    <row r="31" spans="1:8" ht="25.5" customHeight="1">
      <c r="A31" s="27" t="str">
        <f ca="1">IFERROR(__xludf.DUMMYFUNCTION("""COMPUTED_VALUE"""),"Eventos da Área")</f>
        <v>Eventos da Área</v>
      </c>
      <c r="B31" s="24" t="str">
        <f ca="1">IFERROR(__xludf.DUMMYFUNCTION("""COMPUTED_VALUE"""),"WIFS")</f>
        <v>WIFS</v>
      </c>
      <c r="C31" s="24" t="str">
        <f ca="1">IFERROR(__xludf.DUMMYFUNCTION("""COMPUTED_VALUE"""),"IEEE International Workshop on Information Forensics and Security")</f>
        <v>IEEE International Workshop on Information Forensics and Security</v>
      </c>
      <c r="D31" s="24">
        <f ca="1">IFERROR(__xludf.DUMMYFUNCTION("""COMPUTED_VALUE"""),17)</f>
        <v>17</v>
      </c>
      <c r="E31" s="24" t="str">
        <f ca="1">IFERROR(__xludf.DUMMYFUNCTION("""COMPUTED_VALUE"""),"https://scholar.google.com/citations?hl=en&amp;view_op=list_hcore&amp;venue=mvVvdS_cvHIJ.2018")</f>
        <v>https://scholar.google.com/citations?hl=en&amp;view_op=list_hcore&amp;venue=mvVvdS_cvHIJ.2018</v>
      </c>
      <c r="F31" s="41"/>
      <c r="G31" s="41"/>
      <c r="H31" s="41"/>
    </row>
    <row r="32" spans="1:8" ht="25.5" customHeight="1">
      <c r="A32" s="27" t="str">
        <f ca="1">IFERROR(__xludf.DUMMYFUNCTION("""COMPUTED_VALUE"""),"Eventos da Área")</f>
        <v>Eventos da Área</v>
      </c>
      <c r="B32" s="24" t="str">
        <f ca="1">IFERROR(__xludf.DUMMYFUNCTION("""COMPUTED_VALUE"""),"SEC")</f>
        <v>SEC</v>
      </c>
      <c r="C32" s="24" t="str">
        <f ca="1">IFERROR(__xludf.DUMMYFUNCTION("""COMPUTED_VALUE"""),"IFIP TC 11 International Conference on ICT Systems Security and Privacy Protection (IFIP SEC)")</f>
        <v>IFIP TC 11 International Conference on ICT Systems Security and Privacy Protection (IFIP SEC)</v>
      </c>
      <c r="D32" s="24">
        <f ca="1">IFERROR(__xludf.DUMMYFUNCTION("""COMPUTED_VALUE"""),16)</f>
        <v>16</v>
      </c>
      <c r="E32" s="24" t="str">
        <f ca="1">IFERROR(__xludf.DUMMYFUNCTION("""COMPUTED_VALUE"""),"https://scholar.google.com/citations?hl=en&amp;view_op=list_hcore&amp;venue=pMNODcGxo4cJ.2018")</f>
        <v>https://scholar.google.com/citations?hl=en&amp;view_op=list_hcore&amp;venue=pMNODcGxo4cJ.2018</v>
      </c>
      <c r="F32" s="41"/>
      <c r="G32" s="41"/>
      <c r="H32" s="41"/>
    </row>
    <row r="33" spans="1:8" ht="25.5" customHeight="1">
      <c r="A33" s="27" t="str">
        <f ca="1">IFERROR(__xludf.DUMMYFUNCTION("""COMPUTED_VALUE"""),"Eventos da Área")</f>
        <v>Eventos da Área</v>
      </c>
      <c r="B33" s="24" t="str">
        <f ca="1">IFERROR(__xludf.DUMMYFUNCTION("""COMPUTED_VALUE"""),"INDOCRYPT")</f>
        <v>INDOCRYPT</v>
      </c>
      <c r="C33" s="24" t="str">
        <f ca="1">IFERROR(__xludf.DUMMYFUNCTION("""COMPUTED_VALUE"""),"International Conference on Cryptology in India")</f>
        <v>International Conference on Cryptology in India</v>
      </c>
      <c r="D33" s="24">
        <f ca="1">IFERROR(__xludf.DUMMYFUNCTION("""COMPUTED_VALUE"""),16)</f>
        <v>16</v>
      </c>
      <c r="E33" s="24" t="str">
        <f ca="1">IFERROR(__xludf.DUMMYFUNCTION("""COMPUTED_VALUE"""),"https://scholar.google.com/citations?hl=en&amp;view_op=list_hcore&amp;venue=NQGo0SktmDsJ.2018")</f>
        <v>https://scholar.google.com/citations?hl=en&amp;view_op=list_hcore&amp;venue=NQGo0SktmDsJ.2018</v>
      </c>
      <c r="F33" s="41"/>
      <c r="G33" s="41"/>
      <c r="H33" s="41"/>
    </row>
    <row r="34" spans="1:8" ht="25.5" customHeight="1">
      <c r="A34" s="27" t="str">
        <f ca="1">IFERROR(__xludf.DUMMYFUNCTION("""COMPUTED_VALUE"""),"Eventos da Área")</f>
        <v>Eventos da Área</v>
      </c>
      <c r="B34" s="24" t="str">
        <f ca="1">IFERROR(__xludf.DUMMYFUNCTION("""COMPUTED_VALUE"""),"NSS")</f>
        <v>NSS</v>
      </c>
      <c r="C34" s="24" t="str">
        <f ca="1">IFERROR(__xludf.DUMMYFUNCTION("""COMPUTED_VALUE"""),"Network and System Security")</f>
        <v>Network and System Security</v>
      </c>
      <c r="D34" s="24">
        <f ca="1">IFERROR(__xludf.DUMMYFUNCTION("""COMPUTED_VALUE"""),16)</f>
        <v>16</v>
      </c>
      <c r="E34" s="24" t="str">
        <f ca="1">IFERROR(__xludf.DUMMYFUNCTION("""COMPUTED_VALUE"""),"https://scholar.google.com/citations?hl=en&amp;view_op=list_hcore&amp;venue=mDgNlZgOboEJ.2018")</f>
        <v>https://scholar.google.com/citations?hl=en&amp;view_op=list_hcore&amp;venue=mDgNlZgOboEJ.2018</v>
      </c>
      <c r="F34" s="41"/>
      <c r="G34" s="41"/>
      <c r="H34" s="41"/>
    </row>
    <row r="35" spans="1:8" ht="25.5" customHeight="1">
      <c r="A35" s="27" t="str">
        <f ca="1">IFERROR(__xludf.DUMMYFUNCTION("""COMPUTED_VALUE"""),"Eventos da Área")</f>
        <v>Eventos da Área</v>
      </c>
      <c r="B35" s="24" t="str">
        <f ca="1">IFERROR(__xludf.DUMMYFUNCTION("""COMPUTED_VALUE"""),"PST")</f>
        <v>PST</v>
      </c>
      <c r="C35" s="24" t="str">
        <f ca="1">IFERROR(__xludf.DUMMYFUNCTION("""COMPUTED_VALUE"""),"Conference on Privacy, Security and Trust")</f>
        <v>Conference on Privacy, Security and Trust</v>
      </c>
      <c r="D35" s="24">
        <f ca="1">IFERROR(__xludf.DUMMYFUNCTION("""COMPUTED_VALUE"""),16)</f>
        <v>16</v>
      </c>
      <c r="E35" s="24" t="str">
        <f ca="1">IFERROR(__xludf.DUMMYFUNCTION("""COMPUTED_VALUE"""),"https://scholar.google.com/citations?hl=en&amp;view_op=list_hcore&amp;venue=xoT0NbWIf-kJ.2018")</f>
        <v>https://scholar.google.com/citations?hl=en&amp;view_op=list_hcore&amp;venue=xoT0NbWIf-kJ.2018</v>
      </c>
      <c r="F35" s="41"/>
      <c r="G35" s="41"/>
      <c r="H35" s="41"/>
    </row>
    <row r="36" spans="1:8" ht="25.5" customHeight="1">
      <c r="A36" s="27" t="str">
        <f ca="1">IFERROR(__xludf.DUMMYFUNCTION("""COMPUTED_VALUE"""),"Eventos da Área")</f>
        <v>Eventos da Área</v>
      </c>
      <c r="B36" s="24" t="str">
        <f ca="1">IFERROR(__xludf.DUMMYFUNCTION("""COMPUTED_VALUE"""),"SRDS")</f>
        <v>SRDS</v>
      </c>
      <c r="C36" s="24" t="str">
        <f ca="1">IFERROR(__xludf.DUMMYFUNCTION("""COMPUTED_VALUE"""),"Symposium on Reliable Distributed Systems")</f>
        <v>Symposium on Reliable Distributed Systems</v>
      </c>
      <c r="D36" s="24">
        <f ca="1">IFERROR(__xludf.DUMMYFUNCTION("""COMPUTED_VALUE"""),15)</f>
        <v>15</v>
      </c>
      <c r="E36" s="24" t="str">
        <f ca="1">IFERROR(__xludf.DUMMYFUNCTION("""COMPUTED_VALUE"""),"https://scholar.google.com/citations?hl=en&amp;view_op=list_hcore&amp;venue=jMvtRj_Yg6wJ.2018")</f>
        <v>https://scholar.google.com/citations?hl=en&amp;view_op=list_hcore&amp;venue=jMvtRj_Yg6wJ.2018</v>
      </c>
      <c r="F36" s="41"/>
      <c r="G36" s="41"/>
      <c r="H36" s="41"/>
    </row>
    <row r="37" spans="1:8" ht="25.5" customHeight="1">
      <c r="A37" s="27" t="str">
        <f ca="1">IFERROR(__xludf.DUMMYFUNCTION("""COMPUTED_VALUE"""),"Eventos da Área")</f>
        <v>Eventos da Área</v>
      </c>
      <c r="B37" s="24" t="str">
        <f ca="1">IFERROR(__xludf.DUMMYFUNCTION("""COMPUTED_VALUE"""),"CANS")</f>
        <v>CANS</v>
      </c>
      <c r="C37" s="24" t="str">
        <f ca="1">IFERROR(__xludf.DUMMYFUNCTION("""COMPUTED_VALUE"""),"Cryptology and Network Security")</f>
        <v>Cryptology and Network Security</v>
      </c>
      <c r="D37" s="24">
        <f ca="1">IFERROR(__xludf.DUMMYFUNCTION("""COMPUTED_VALUE"""),15)</f>
        <v>15</v>
      </c>
      <c r="E37" s="24" t="str">
        <f ca="1">IFERROR(__xludf.DUMMYFUNCTION("""COMPUTED_VALUE"""),"https://scholar.google.com/citations?hl=en&amp;view_op=list_hcore&amp;venue=q7kWOn3QmqYJ.2018")</f>
        <v>https://scholar.google.com/citations?hl=en&amp;view_op=list_hcore&amp;venue=q7kWOn3QmqYJ.2018</v>
      </c>
      <c r="F37" s="41"/>
      <c r="G37" s="41"/>
      <c r="H37" s="41"/>
    </row>
    <row r="38" spans="1:8" ht="25.5" customHeight="1">
      <c r="A38" s="27" t="str">
        <f ca="1">IFERROR(__xludf.DUMMYFUNCTION("""COMPUTED_VALUE"""),"Eventos da Área")</f>
        <v>Eventos da Área</v>
      </c>
      <c r="B38" s="24" t="str">
        <f ca="1">IFERROR(__xludf.DUMMYFUNCTION("""COMPUTED_VALUE"""),"ACISP")</f>
        <v>ACISP</v>
      </c>
      <c r="C38" s="24" t="str">
        <f ca="1">IFERROR(__xludf.DUMMYFUNCTION("""COMPUTED_VALUE"""),"Australasian Conference on Information Security and Privacy")</f>
        <v>Australasian Conference on Information Security and Privacy</v>
      </c>
      <c r="D38" s="24">
        <f ca="1">IFERROR(__xludf.DUMMYFUNCTION("""COMPUTED_VALUE"""),15)</f>
        <v>15</v>
      </c>
      <c r="E38" s="24" t="str">
        <f ca="1">IFERROR(__xludf.DUMMYFUNCTION("""COMPUTED_VALUE"""),"https://scholar.google.com/citations?hl=en&amp;view_op=list_hcore&amp;venue=o0S2wIvNbXEJ.2019")</f>
        <v>https://scholar.google.com/citations?hl=en&amp;view_op=list_hcore&amp;venue=o0S2wIvNbXEJ.2019</v>
      </c>
      <c r="F38" s="41"/>
      <c r="G38" s="41"/>
      <c r="H38" s="41"/>
    </row>
    <row r="39" spans="1:8" ht="25.5" customHeight="1">
      <c r="A39" s="27" t="str">
        <f ca="1">IFERROR(__xludf.DUMMYFUNCTION("""COMPUTED_VALUE"""),"Eventos da Área")</f>
        <v>Eventos da Área</v>
      </c>
      <c r="B39" s="24" t="str">
        <f ca="1">IFERROR(__xludf.DUMMYFUNCTION("""COMPUTED_VALUE"""),"DBSec")</f>
        <v>DBSec</v>
      </c>
      <c r="C39" s="24" t="str">
        <f ca="1">IFERROR(__xludf.DUMMYFUNCTION("""COMPUTED_VALUE"""),"IFIP WG 11.3 Conference on Data and Applications Security and Privacy")</f>
        <v>IFIP WG 11.3 Conference on Data and Applications Security and Privacy</v>
      </c>
      <c r="D39" s="24">
        <f ca="1">IFERROR(__xludf.DUMMYFUNCTION("""COMPUTED_VALUE"""),14)</f>
        <v>14</v>
      </c>
      <c r="E39" s="24" t="str">
        <f ca="1">IFERROR(__xludf.DUMMYFUNCTION("""COMPUTED_VALUE"""),"https://scholar.google.com/citations?hl=en&amp;view_op=list_hcore&amp;venue=t9ttKFRoPtkJ.2018")</f>
        <v>https://scholar.google.com/citations?hl=en&amp;view_op=list_hcore&amp;venue=t9ttKFRoPtkJ.2018</v>
      </c>
      <c r="F39" s="41"/>
      <c r="G39" s="41"/>
      <c r="H39" s="41"/>
    </row>
    <row r="40" spans="1:8" ht="25.5" customHeight="1">
      <c r="A40" s="27" t="str">
        <f ca="1">IFERROR(__xludf.DUMMYFUNCTION("""COMPUTED_VALUE"""),"Eventos da Área")</f>
        <v>Eventos da Área</v>
      </c>
      <c r="B40" s="24" t="str">
        <f ca="1">IFERROR(__xludf.DUMMYFUNCTION("""COMPUTED_VALUE"""),"SAFECOMP")</f>
        <v>SAFECOMP</v>
      </c>
      <c r="C40" s="24" t="str">
        <f ca="1">IFERROR(__xludf.DUMMYFUNCTION("""COMPUTED_VALUE"""),"International Conference on Computer Safety, Reliability, and Security")</f>
        <v>International Conference on Computer Safety, Reliability, and Security</v>
      </c>
      <c r="D40" s="24">
        <f ca="1">IFERROR(__xludf.DUMMYFUNCTION("""COMPUTED_VALUE"""),14)</f>
        <v>14</v>
      </c>
      <c r="E40" s="24" t="str">
        <f ca="1">IFERROR(__xludf.DUMMYFUNCTION("""COMPUTED_VALUE"""),"https://scholar.google.com/citations?hl=en&amp;view_op=list_hcore&amp;venue=fWfpTei59DsJ.2018")</f>
        <v>https://scholar.google.com/citations?hl=en&amp;view_op=list_hcore&amp;venue=fWfpTei59DsJ.2018</v>
      </c>
      <c r="F40" s="41"/>
      <c r="G40" s="41"/>
      <c r="H40" s="41"/>
    </row>
    <row r="41" spans="1:8" ht="25.5" customHeight="1">
      <c r="A41" s="27" t="str">
        <f ca="1">IFERROR(__xludf.DUMMYFUNCTION("""COMPUTED_VALUE"""),"Eventos da Área")</f>
        <v>Eventos da Área</v>
      </c>
      <c r="B41" s="24" t="str">
        <f ca="1">IFERROR(__xludf.DUMMYFUNCTION("""COMPUTED_VALUE"""),"SACMAT")</f>
        <v>SACMAT</v>
      </c>
      <c r="C41" s="24" t="str">
        <f ca="1">IFERROR(__xludf.DUMMYFUNCTION("""COMPUTED_VALUE"""),"ACM Symposium on Access Control Models and Technologies")</f>
        <v>ACM Symposium on Access Control Models and Technologies</v>
      </c>
      <c r="D41" s="24">
        <f ca="1">IFERROR(__xludf.DUMMYFUNCTION("""COMPUTED_VALUE"""),14)</f>
        <v>14</v>
      </c>
      <c r="E41" s="24" t="str">
        <f ca="1">IFERROR(__xludf.DUMMYFUNCTION("""COMPUTED_VALUE"""),"https://scholar.google.com/citations?hl=en&amp;view_op=list_hcore&amp;venue=9DZYftdOCUAJ.2018")</f>
        <v>https://scholar.google.com/citations?hl=en&amp;view_op=list_hcore&amp;venue=9DZYftdOCUAJ.2018</v>
      </c>
      <c r="F41" s="41"/>
      <c r="G41" s="41"/>
      <c r="H41" s="41"/>
    </row>
    <row r="42" spans="1:8" ht="25.5" customHeight="1">
      <c r="A42" s="27" t="str">
        <f ca="1">IFERROR(__xludf.DUMMYFUNCTION("""COMPUTED_VALUE"""),"Eventos da Área")</f>
        <v>Eventos da Área</v>
      </c>
      <c r="B42" s="24" t="str">
        <f ca="1">IFERROR(__xludf.DUMMYFUNCTION("""COMPUTED_VALUE"""),"ISC")</f>
        <v>ISC</v>
      </c>
      <c r="C42" s="24" t="str">
        <f ca="1">IFERROR(__xludf.DUMMYFUNCTION("""COMPUTED_VALUE"""),"International Conference on Information Security")</f>
        <v>International Conference on Information Security</v>
      </c>
      <c r="D42" s="24">
        <f ca="1">IFERROR(__xludf.DUMMYFUNCTION("""COMPUTED_VALUE"""),15)</f>
        <v>15</v>
      </c>
      <c r="E42" s="24" t="str">
        <f ca="1">IFERROR(__xludf.DUMMYFUNCTION("""COMPUTED_VALUE"""),"https://scholar.google.com/citations?hl=en&amp;view_op=list_hcore&amp;venue=Vnq3DIsft2YJ.2019")</f>
        <v>https://scholar.google.com/citations?hl=en&amp;view_op=list_hcore&amp;venue=Vnq3DIsft2YJ.2019</v>
      </c>
      <c r="F42" s="41"/>
      <c r="G42" s="41"/>
      <c r="H42" s="41"/>
    </row>
    <row r="43" spans="1:8" ht="25.5" customHeight="1">
      <c r="A43" s="27" t="str">
        <f ca="1">IFERROR(__xludf.DUMMYFUNCTION("""COMPUTED_VALUE"""),"Eventos da Área")</f>
        <v>Eventos da Área</v>
      </c>
      <c r="B43" s="24" t="str">
        <f ca="1">IFERROR(__xludf.DUMMYFUNCTION("""COMPUTED_VALUE"""),"SECRYPT")</f>
        <v>SECRYPT</v>
      </c>
      <c r="C43" s="24" t="str">
        <f ca="1">IFERROR(__xludf.DUMMYFUNCTION("""COMPUTED_VALUE"""),"International Conference on Security and Cryptography")</f>
        <v>International Conference on Security and Cryptography</v>
      </c>
      <c r="D43" s="24">
        <f ca="1">IFERROR(__xludf.DUMMYFUNCTION("""COMPUTED_VALUE"""),13)</f>
        <v>13</v>
      </c>
      <c r="E43" s="24" t="str">
        <f ca="1">IFERROR(__xludf.DUMMYFUNCTION("""COMPUTED_VALUE"""),"https://scholar.google.com/citations?hl=en&amp;view_op=list_hcore&amp;venue=xSWUNlszhlkJ.2018")</f>
        <v>https://scholar.google.com/citations?hl=en&amp;view_op=list_hcore&amp;venue=xSWUNlszhlkJ.2018</v>
      </c>
      <c r="F43" s="41"/>
      <c r="G43" s="41"/>
      <c r="H43" s="41"/>
    </row>
    <row r="44" spans="1:8" ht="25.5" customHeight="1">
      <c r="A44" s="27" t="str">
        <f ca="1">IFERROR(__xludf.DUMMYFUNCTION("""COMPUTED_VALUE"""),"Eventos da Área")</f>
        <v>Eventos da Área</v>
      </c>
      <c r="B44" s="24" t="str">
        <f ca="1">IFERROR(__xludf.DUMMYFUNCTION("""COMPUTED_VALUE"""),"ICISC")</f>
        <v>ICISC</v>
      </c>
      <c r="C44" s="24" t="str">
        <f ca="1">IFERROR(__xludf.DUMMYFUNCTION("""COMPUTED_VALUE"""),"International Conference on Information Security and Cryptology")</f>
        <v>International Conference on Information Security and Cryptology</v>
      </c>
      <c r="D44" s="24">
        <f ca="1">IFERROR(__xludf.DUMMYFUNCTION("""COMPUTED_VALUE"""),12)</f>
        <v>12</v>
      </c>
      <c r="E44" s="24" t="str">
        <f ca="1">IFERROR(__xludf.DUMMYFUNCTION("""COMPUTED_VALUE"""),"https://scholar.google.com/citations?hl=en&amp;view_op=list_hcore&amp;venue=MSHaZsrVGwsJ.2018")</f>
        <v>https://scholar.google.com/citations?hl=en&amp;view_op=list_hcore&amp;venue=MSHaZsrVGwsJ.2018</v>
      </c>
      <c r="F44" s="41"/>
      <c r="G44" s="41"/>
      <c r="H44" s="41"/>
    </row>
    <row r="45" spans="1:8" ht="25.5" customHeight="1">
      <c r="A45" s="27" t="str">
        <f ca="1">IFERROR(__xludf.DUMMYFUNCTION("""COMPUTED_VALUE"""),"Eventos da Área")</f>
        <v>Eventos da Área</v>
      </c>
      <c r="B45" s="24" t="str">
        <f ca="1">IFERROR(__xludf.DUMMYFUNCTION("""COMPUTED_VALUE"""),"IIH-MSP")</f>
        <v>IIH-MSP</v>
      </c>
      <c r="C45" s="24" t="str">
        <f ca="1">IFERROR(__xludf.DUMMYFUNCTION("""COMPUTED_VALUE"""),"International Conference on Intelligent Information Hiding and Multimedia Signal Processing")</f>
        <v>International Conference on Intelligent Information Hiding and Multimedia Signal Processing</v>
      </c>
      <c r="D45" s="24">
        <f ca="1">IFERROR(__xludf.DUMMYFUNCTION("""COMPUTED_VALUE"""),11)</f>
        <v>11</v>
      </c>
      <c r="E45" s="24" t="str">
        <f ca="1">IFERROR(__xludf.DUMMYFUNCTION("""COMPUTED_VALUE"""),"https://scholar.google.com/citations?hl=en&amp;view_op=list_hcore&amp;venue=glSJUMMggrUJ.2019")</f>
        <v>https://scholar.google.com/citations?hl=en&amp;view_op=list_hcore&amp;venue=glSJUMMggrUJ.2019</v>
      </c>
      <c r="F45" s="41"/>
      <c r="G45" s="41"/>
      <c r="H45" s="41"/>
    </row>
    <row r="46" spans="1:8" ht="25.5" customHeight="1">
      <c r="A46" s="27" t="str">
        <f ca="1">IFERROR(__xludf.DUMMYFUNCTION("""COMPUTED_VALUE"""),"Eventos da Área")</f>
        <v>Eventos da Área</v>
      </c>
      <c r="B46" s="24" t="str">
        <f ca="1">IFERROR(__xludf.DUMMYFUNCTION("""COMPUTED_VALUE"""),"ISSA")</f>
        <v>ISSA</v>
      </c>
      <c r="C46" s="24" t="str">
        <f ca="1">IFERROR(__xludf.DUMMYFUNCTION("""COMPUTED_VALUE"""),"Information Security for South Africa")</f>
        <v>Information Security for South Africa</v>
      </c>
      <c r="D46" s="24">
        <f ca="1">IFERROR(__xludf.DUMMYFUNCTION("""COMPUTED_VALUE"""),11)</f>
        <v>11</v>
      </c>
      <c r="E46" s="24" t="str">
        <f ca="1">IFERROR(__xludf.DUMMYFUNCTION("""COMPUTED_VALUE"""),"https://scholar.google.com/citations?hl=en&amp;view_op=list_hcore&amp;venue=mjGhRMqAqs8J.2019")</f>
        <v>https://scholar.google.com/citations?hl=en&amp;view_op=list_hcore&amp;venue=mjGhRMqAqs8J.2019</v>
      </c>
      <c r="F46" s="41"/>
      <c r="G46" s="41"/>
      <c r="H46" s="41"/>
    </row>
    <row r="47" spans="1:8" ht="25.5" customHeight="1">
      <c r="A47" s="27" t="str">
        <f ca="1">IFERROR(__xludf.DUMMYFUNCTION("""COMPUTED_VALUE"""),"Eventos da Área")</f>
        <v>Eventos da Área</v>
      </c>
      <c r="B47" s="24" t="str">
        <f ca="1">IFERROR(__xludf.DUMMYFUNCTION("""COMPUTED_VALUE"""),"ICICS")</f>
        <v>ICICS</v>
      </c>
      <c r="C47" s="24" t="str">
        <f ca="1">IFERROR(__xludf.DUMMYFUNCTION("""COMPUTED_VALUE"""),"International Conference on Information and Communications Security")</f>
        <v>International Conference on Information and Communications Security</v>
      </c>
      <c r="D47" s="24">
        <f ca="1">IFERROR(__xludf.DUMMYFUNCTION("""COMPUTED_VALUE"""),10)</f>
        <v>10</v>
      </c>
      <c r="E47" s="24" t="str">
        <f ca="1">IFERROR(__xludf.DUMMYFUNCTION("""COMPUTED_VALUE"""),"https://scholar.google.com/citations?hl=en&amp;view_op=list_hcore&amp;venue=PlU5605zcRkJ.2018")</f>
        <v>https://scholar.google.com/citations?hl=en&amp;view_op=list_hcore&amp;venue=PlU5605zcRkJ.2018</v>
      </c>
      <c r="F47" s="41"/>
      <c r="G47" s="41"/>
      <c r="H47" s="41"/>
    </row>
    <row r="48" spans="1:8" ht="25.5" customHeight="1">
      <c r="A48" s="27" t="str">
        <f ca="1">IFERROR(__xludf.DUMMYFUNCTION("""COMPUTED_VALUE"""),"Eventos da Área")</f>
        <v>Eventos da Área</v>
      </c>
      <c r="B48" s="24" t="str">
        <f ca="1">IFERROR(__xludf.DUMMYFUNCTION("""COMPUTED_VALUE"""),"NTMS")</f>
        <v>NTMS</v>
      </c>
      <c r="C48" s="24" t="str">
        <f ca="1">IFERROR(__xludf.DUMMYFUNCTION("""COMPUTED_VALUE"""),"IFIP International Conference on New Technologies, Mobility and Security")</f>
        <v>IFIP International Conference on New Technologies, Mobility and Security</v>
      </c>
      <c r="D48" s="24">
        <f ca="1">IFERROR(__xludf.DUMMYFUNCTION("""COMPUTED_VALUE"""),10)</f>
        <v>10</v>
      </c>
      <c r="E48" s="24" t="str">
        <f ca="1">IFERROR(__xludf.DUMMYFUNCTION("""COMPUTED_VALUE"""),"https://scholar.google.com/citations?hl=en&amp;view_op=list_hcore&amp;venue=BJDMFlAVW-cJ.2018")</f>
        <v>https://scholar.google.com/citations?hl=en&amp;view_op=list_hcore&amp;venue=BJDMFlAVW-cJ.2018</v>
      </c>
      <c r="F48" s="41"/>
      <c r="G48" s="41"/>
      <c r="H48" s="41"/>
    </row>
    <row r="49" spans="1:8" ht="25.5" customHeight="1">
      <c r="A49" s="27" t="str">
        <f ca="1">IFERROR(__xludf.DUMMYFUNCTION("""COMPUTED_VALUE"""),"Eventos da Área")</f>
        <v>Eventos da Área</v>
      </c>
      <c r="B49" s="24" t="str">
        <f ca="1">IFERROR(__xludf.DUMMYFUNCTION("""COMPUTED_VALUE"""),"ICISS")</f>
        <v>ICISS</v>
      </c>
      <c r="C49" s="24" t="str">
        <f ca="1">IFERROR(__xludf.DUMMYFUNCTION("""COMPUTED_VALUE"""),"International Conference on Information Systems Security")</f>
        <v>International Conference on Information Systems Security</v>
      </c>
      <c r="D49" s="24">
        <f ca="1">IFERROR(__xludf.DUMMYFUNCTION("""COMPUTED_VALUE"""),9)</f>
        <v>9</v>
      </c>
      <c r="E49" s="24" t="str">
        <f ca="1">IFERROR(__xludf.DUMMYFUNCTION("""COMPUTED_VALUE"""),"https://scholar.google.com/citations?hl=en&amp;view_op=list_hcore&amp;venue=p8h6FO7flgIJ.2018")</f>
        <v>https://scholar.google.com/citations?hl=en&amp;view_op=list_hcore&amp;venue=p8h6FO7flgIJ.2018</v>
      </c>
      <c r="F49" s="41"/>
      <c r="G49" s="41"/>
      <c r="H49" s="41"/>
    </row>
    <row r="50" spans="1:8" ht="25.5" customHeight="1">
      <c r="A50" s="27" t="str">
        <f ca="1">IFERROR(__xludf.DUMMYFUNCTION("""COMPUTED_VALUE"""),"Eventos da Área")</f>
        <v>Eventos da Área</v>
      </c>
      <c r="B50" s="24" t="str">
        <f ca="1">IFERROR(__xludf.DUMMYFUNCTION("""COMPUTED_VALUE"""),"SSCC")</f>
        <v>SSCC</v>
      </c>
      <c r="C50" s="24" t="str">
        <f ca="1">IFERROR(__xludf.DUMMYFUNCTION("""COMPUTED_VALUE"""),"International Symposium on Security in Computing and Communications")</f>
        <v>International Symposium on Security in Computing and Communications</v>
      </c>
      <c r="D50" s="24">
        <f ca="1">IFERROR(__xludf.DUMMYFUNCTION("""COMPUTED_VALUE"""),8)</f>
        <v>8</v>
      </c>
      <c r="E50" s="24" t="str">
        <f ca="1">IFERROR(__xludf.DUMMYFUNCTION("""COMPUTED_VALUE"""),"https://scholar.google.com/citations?hl=en&amp;view_op=list_hcore&amp;venue=pGU5_1oxcy0J.2019")</f>
        <v>https://scholar.google.com/citations?hl=en&amp;view_op=list_hcore&amp;venue=pGU5_1oxcy0J.2019</v>
      </c>
      <c r="F50" s="41"/>
      <c r="G50" s="41"/>
      <c r="H50" s="41"/>
    </row>
    <row r="51" spans="1:8" ht="25.5" customHeight="1">
      <c r="A51" s="27" t="str">
        <f ca="1">IFERROR(__xludf.DUMMYFUNCTION("""COMPUTED_VALUE"""),"Eventos da Área")</f>
        <v>Eventos da Área</v>
      </c>
      <c r="B51" s="24" t="str">
        <f ca="1">IFERROR(__xludf.DUMMYFUNCTION("""COMPUTED_VALUE"""),"ICDF")</f>
        <v>ICDF</v>
      </c>
      <c r="C51" s="24" t="str">
        <f ca="1">IFERROR(__xludf.DUMMYFUNCTION("""COMPUTED_VALUE"""),"IFIP International Conference on Digital Forensics")</f>
        <v>IFIP International Conference on Digital Forensics</v>
      </c>
      <c r="D51" s="24">
        <f ca="1">IFERROR(__xludf.DUMMYFUNCTION("""COMPUTED_VALUE"""),8)</f>
        <v>8</v>
      </c>
      <c r="E51" s="24" t="str">
        <f ca="1">IFERROR(__xludf.DUMMYFUNCTION("""COMPUTED_VALUE"""),"https://scholar.google.com/citations?hl=en&amp;view_op=list_hcore&amp;venue=-4oZh5Q9EIcJ.2019")</f>
        <v>https://scholar.google.com/citations?hl=en&amp;view_op=list_hcore&amp;venue=-4oZh5Q9EIcJ.2019</v>
      </c>
      <c r="F51" s="41"/>
      <c r="G51" s="41"/>
      <c r="H51" s="41"/>
    </row>
    <row r="52" spans="1:8" ht="25.5" customHeight="1">
      <c r="A52" s="27" t="str">
        <f ca="1">IFERROR(__xludf.DUMMYFUNCTION("""COMPUTED_VALUE"""),"Eventos da Área")</f>
        <v>Eventos da Área</v>
      </c>
      <c r="B52" s="24" t="str">
        <f ca="1">IFERROR(__xludf.DUMMYFUNCTION("""COMPUTED_VALUE"""),"ASID")</f>
        <v>ASID</v>
      </c>
      <c r="C52" s="24" t="str">
        <f ca="1">IFERROR(__xludf.DUMMYFUNCTION("""COMPUTED_VALUE"""),"International Conference on Anti-counterfeiting, Security, and Identification in Communication")</f>
        <v>International Conference on Anti-counterfeiting, Security, and Identification in Communication</v>
      </c>
      <c r="D52" s="24">
        <f ca="1">IFERROR(__xludf.DUMMYFUNCTION("""COMPUTED_VALUE"""),6)</f>
        <v>6</v>
      </c>
      <c r="E52" s="24" t="str">
        <f ca="1">IFERROR(__xludf.DUMMYFUNCTION("""COMPUTED_VALUE"""),"https://scholar.google.com/citations?hl=en&amp;view_op=list_hcore&amp;venue=G0FddLwZFDcJ.2019")</f>
        <v>https://scholar.google.com/citations?hl=en&amp;view_op=list_hcore&amp;venue=G0FddLwZFDcJ.2019</v>
      </c>
      <c r="F52" s="41"/>
      <c r="G52" s="41"/>
      <c r="H52" s="41"/>
    </row>
    <row r="53" spans="1:8" ht="25.5" customHeight="1">
      <c r="A53" s="27" t="str">
        <f ca="1">IFERROR(__xludf.DUMMYFUNCTION("""COMPUTED_VALUE"""),"Eventos da Área")</f>
        <v>Eventos da Área</v>
      </c>
      <c r="B53" s="25" t="str">
        <f ca="1">IFERROR(__xludf.DUMMYFUNCTION("""COMPUTED_VALUE"""),"LATINCRYPT")</f>
        <v>LATINCRYPT</v>
      </c>
      <c r="C53" s="25" t="str">
        <f ca="1">IFERROR(__xludf.DUMMYFUNCTION("""COMPUTED_VALUE"""),"International Conference on Cryptology and Information Security in Latin America")</f>
        <v>International Conference on Cryptology and Information Security in Latin America</v>
      </c>
      <c r="D53" s="25" t="str">
        <f ca="1">IFERROR(__xludf.DUMMYFUNCTION("""COMPUTED_VALUE"""),"-")</f>
        <v>-</v>
      </c>
      <c r="E53" s="25" t="str">
        <f ca="1">IFERROR(__xludf.DUMMYFUNCTION("""COMPUTED_VALUE"""),"É o principal evento latino-americano envolvendo criptografia, patrocinado pela SBC")</f>
        <v>É o principal evento latino-americano envolvendo criptografia, patrocinado pela SBC</v>
      </c>
      <c r="F53" s="41"/>
      <c r="G53" s="41"/>
      <c r="H53" s="41"/>
    </row>
  </sheetData>
  <hyperlinks>
    <hyperlink ref="E2" r:id="rId1" display="https://scholar.google.com/citations?hl=en&amp;view_op=list_hcore&amp;venue=Pg42P_rbavwJ.2018"/>
    <hyperlink ref="E3" r:id="rId2" display="https://scholar.google.com/citations?hl=en&amp;view_op=list_hcore&amp;venue=cyrroHz3a0YJ.2018"/>
    <hyperlink ref="E4" r:id="rId3" display="https://scholar.google.com/citations?hl=en&amp;view_op=list_hcore&amp;venue=HSHJIaLyN9IJ.2018"/>
    <hyperlink ref="E5" r:id="rId4" display="https://scholar.google.com/citations?hl=en&amp;view_op=list_hcore&amp;venue=nqcB6RwzhMQJ.2018"/>
    <hyperlink ref="E6" r:id="rId5" display="https://scholar.google.com/citations?hl=en&amp;view_op=list_hcore&amp;venue=q2FcImd5qbgJ.2018"/>
    <hyperlink ref="E7" r:id="rId6" display="https://scholar.google.com/citations?hl=en&amp;view_op=list_hcore&amp;venue=fsZsNTm7Eh8J.2018"/>
    <hyperlink ref="E8" r:id="rId7" display="https://scholar.google.com/citations?hl=en&amp;view_op=list_hcore&amp;venue=hxrvQsnJSDMJ.2018"/>
    <hyperlink ref="E9" r:id="rId8" display="https://scholar.google.com/citations?hl=en&amp;view_op=list_hcore&amp;venue=gVeDacK3aQwJ.2018"/>
    <hyperlink ref="E10" r:id="rId9" display="https://scholar.google.com/citations?hl=en&amp;view_op=list_hcore&amp;venue=3VLtGPwkq54J.2018"/>
    <hyperlink ref="E11" r:id="rId10" display="https://scholar.google.com/citations?hl=en&amp;view_op=list_hcore&amp;venue=fxQZq2l4GcMJ.2018"/>
    <hyperlink ref="E12" r:id="rId11" display="https://scholar.google.com/citations?hl=en&amp;view_op=list_hcore&amp;venue=JP81m6yJpiEJ.2018"/>
    <hyperlink ref="E13" r:id="rId12" display="https://scholar.google.com/citations?hl=en&amp;view_op=list_hcore&amp;venue=d6VxAyLWqWgJ.2018"/>
    <hyperlink ref="E14" r:id="rId13" display="https://scholar.google.com/citations?hl=en&amp;view_op=list_hcore&amp;venue=6gqvYwOFvq0J.2018"/>
    <hyperlink ref="E15" r:id="rId14" display="https://scholar.google.com/citations?hl=en&amp;view_op=list_hcore&amp;venue=u0EMblNmhEoJ.2018"/>
    <hyperlink ref="E16" r:id="rId15" display="https://scholar.google.com/citations?hl=en&amp;view_op=list_hcore&amp;venue=88oopSfS28MJ.2018"/>
    <hyperlink ref="E17" r:id="rId16" display="https://scholar.google.com/citations?hl=en&amp;view_op=list_hcore&amp;venue=x1AY1yaO1mQJ.2018"/>
    <hyperlink ref="E18" r:id="rId17" display="https://scholar.google.com/citations?hl=en&amp;view_op=list_hcore&amp;venue=LWRwHw7mGBMJ.2018"/>
    <hyperlink ref="E19" r:id="rId18" display="https://scholar.google.com/citations?hl=en&amp;view_op=list_hcore&amp;venue=_3T_r4GbfNcJ.2018"/>
    <hyperlink ref="E20" r:id="rId19" display="https://scholar.google.com/citations?hl=en&amp;view_op=list_hcore&amp;venue=eMr22KXtlXcJ.2018"/>
    <hyperlink ref="E22" r:id="rId20" display="https://scholar.google.com/citations?hl=en&amp;view_op=list_hcore&amp;venue=5Sz4yUnI16AJ.2018"/>
    <hyperlink ref="E23" r:id="rId21" display="https://scholar.google.com/citations?hl=en&amp;view_op=list_hcore&amp;venue=uX6tRrNG0lQJ.2018"/>
    <hyperlink ref="E24" r:id="rId22" display="https://scholar.google.com/citations?hl=en&amp;view_op=list_hcore&amp;venue=8C-rTF6UiesJ.2018"/>
    <hyperlink ref="E25" r:id="rId23" display="https://scholar.google.com/citations?hl=en&amp;view_op=list_hcore&amp;venue=JDO_KUA4CYMJ.2018"/>
    <hyperlink ref="E26" r:id="rId24" display="https://scholar.google.com/citations?hl=en&amp;view_op=list_hcore&amp;venue=nZuTYevUj1wJ.2019"/>
    <hyperlink ref="E27" r:id="rId25" display="https://scholar.google.com/citations?hl=en&amp;view_op=list_hcore&amp;venue=826ERjda8dUJ.2018"/>
    <hyperlink ref="E28" r:id="rId26" display="https://scholar.google.com/citations?hl=en&amp;view_op=list_hcore&amp;venue=pUbmTvcLFnQJ.2018"/>
    <hyperlink ref="E29" r:id="rId27" display="https://scholar.google.com/citations?hl=en&amp;view_op=list_hcore&amp;venue=JXbjzvN-escJ.2018"/>
    <hyperlink ref="E30" r:id="rId28" display="https://scholar.google.com/citations?hl=en&amp;view_op=list_hcore&amp;venue=GIrj2BSjfiwJ.2018"/>
    <hyperlink ref="E31" r:id="rId29" display="https://scholar.google.com/citations?hl=en&amp;view_op=list_hcore&amp;venue=mvVvdS_cvHIJ.2018"/>
    <hyperlink ref="E32" r:id="rId30" display="https://scholar.google.com/citations?hl=en&amp;view_op=list_hcore&amp;venue=pMNODcGxo4cJ.2018"/>
    <hyperlink ref="E33" r:id="rId31" display="https://scholar.google.com/citations?hl=en&amp;view_op=list_hcore&amp;venue=NQGo0SktmDsJ.2018"/>
    <hyperlink ref="E34" r:id="rId32" display="https://scholar.google.com/citations?hl=en&amp;view_op=list_hcore&amp;venue=mDgNlZgOboEJ.2018"/>
    <hyperlink ref="E35" r:id="rId33" display="https://scholar.google.com/citations?hl=en&amp;view_op=list_hcore&amp;venue=xoT0NbWIf-kJ.2018"/>
    <hyperlink ref="E36" r:id="rId34" display="https://scholar.google.com/citations?hl=en&amp;view_op=list_hcore&amp;venue=jMvtRj_Yg6wJ.2018"/>
    <hyperlink ref="E37" r:id="rId35" display="https://scholar.google.com/citations?hl=en&amp;view_op=list_hcore&amp;venue=q7kWOn3QmqYJ.2018"/>
    <hyperlink ref="E38" r:id="rId36" display="https://scholar.google.com/citations?hl=en&amp;view_op=list_hcore&amp;venue=o0S2wIvNbXEJ.2019"/>
    <hyperlink ref="E39" r:id="rId37" display="https://scholar.google.com/citations?hl=en&amp;view_op=list_hcore&amp;venue=t9ttKFRoPtkJ.2018"/>
    <hyperlink ref="E40" r:id="rId38" display="https://scholar.google.com/citations?hl=en&amp;view_op=list_hcore&amp;venue=fWfpTei59DsJ.2018"/>
    <hyperlink ref="E41" r:id="rId39" display="https://scholar.google.com/citations?hl=en&amp;view_op=list_hcore&amp;venue=9DZYftdOCUAJ.2018"/>
    <hyperlink ref="E42" r:id="rId40" display="https://scholar.google.com/citations?hl=en&amp;view_op=list_hcore&amp;venue=Vnq3DIsft2YJ.2019"/>
    <hyperlink ref="E43" r:id="rId41" display="https://scholar.google.com/citations?hl=en&amp;view_op=list_hcore&amp;venue=xSWUNlszhlkJ.2018"/>
    <hyperlink ref="E44" r:id="rId42" display="https://scholar.google.com/citations?hl=en&amp;view_op=list_hcore&amp;venue=MSHaZsrVGwsJ.2018"/>
    <hyperlink ref="E45" r:id="rId43" display="https://scholar.google.com/citations?hl=en&amp;view_op=list_hcore&amp;venue=glSJUMMggrUJ.2019"/>
    <hyperlink ref="E46" r:id="rId44" display="https://scholar.google.com/citations?hl=en&amp;view_op=list_hcore&amp;venue=mjGhRMqAqs8J.2019"/>
    <hyperlink ref="E47" r:id="rId45" display="https://scholar.google.com/citations?hl=en&amp;view_op=list_hcore&amp;venue=PlU5605zcRkJ.2018"/>
    <hyperlink ref="E48" r:id="rId46" display="https://scholar.google.com/citations?hl=en&amp;view_op=list_hcore&amp;venue=BJDMFlAVW-cJ.2018"/>
    <hyperlink ref="E49" r:id="rId47" display="https://scholar.google.com/citations?hl=en&amp;view_op=list_hcore&amp;venue=p8h6FO7flgIJ.2018"/>
    <hyperlink ref="E50" r:id="rId48" display="https://scholar.google.com/citations?hl=en&amp;view_op=list_hcore&amp;venue=pGU5_1oxcy0J.2019"/>
    <hyperlink ref="E51" r:id="rId49" display="https://scholar.google.com/citations?hl=en&amp;view_op=list_hcore&amp;venue=-4oZh5Q9EIcJ.2019"/>
    <hyperlink ref="E52" r:id="rId50" display="https://scholar.google.com/citations?hl=en&amp;view_op=list_hcore&amp;venue=G0FddLwZFDcJ.2019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0"/>
  <sheetViews>
    <sheetView showGridLines="0" workbookViewId="0">
      <pane ySplit="1" topLeftCell="A2" activePane="bottomLeft" state="frozen"/>
      <selection activeCell="C34" sqref="C34"/>
      <selection pane="bottomLeft" activeCell="C34" sqref="C34"/>
    </sheetView>
  </sheetViews>
  <sheetFormatPr defaultColWidth="12.5703125" defaultRowHeight="25.5" customHeight="1"/>
  <cols>
    <col min="1" max="1" width="16.140625" style="22" bestFit="1" customWidth="1"/>
    <col min="2" max="2" width="14.42578125" style="22" bestFit="1" customWidth="1"/>
    <col min="3" max="3" width="94.42578125" style="22" bestFit="1" customWidth="1"/>
    <col min="4" max="4" width="4.140625" style="22" bestFit="1" customWidth="1"/>
    <col min="5" max="5" width="95.7109375" style="22" bestFit="1" customWidth="1"/>
    <col min="6" max="16384" width="12.5703125" style="22"/>
  </cols>
  <sheetData>
    <row r="1" spans="1:25" ht="25.5" customHeight="1">
      <c r="A1" s="16" t="str">
        <f ca="1">IFERROR(__xludf.DUMMYFUNCTION("importrange(""https://docs.google.com/spreadsheets/d/1CKHwtzxKK8XLIOHlBivIBv4qjSm_FJnzGzDp1L6P3TM/edit#gid=469718963"",""CE-TF!A1:J150"")"),"TOP")</f>
        <v>TOP</v>
      </c>
      <c r="B1" s="16" t="str">
        <f ca="1">IFERROR(__xludf.DUMMYFUNCTION("""COMPUTED_VALUE"""),"SIGLA")</f>
        <v>SIGLA</v>
      </c>
      <c r="C1" s="16" t="str">
        <f ca="1">IFERROR(__xludf.DUMMYFUNCTION("""COMPUTED_VALUE"""),"NOME")</f>
        <v>NOME</v>
      </c>
      <c r="D1" s="16" t="str">
        <f ca="1">IFERROR(__xludf.DUMMYFUNCTION("""COMPUTED_VALUE"""),"H5")</f>
        <v>H5</v>
      </c>
      <c r="E1" s="16" t="str">
        <f ca="1">IFERROR(__xludf.DUMMYFUNCTION("""COMPUTED_VALUE"""),"GOOGLE METRICS LINK")</f>
        <v>GOOGLE METRICS LINK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25.5" customHeight="1">
      <c r="A2" s="23" t="str">
        <f ca="1">IFERROR(__xludf.DUMMYFUNCTION("""COMPUTED_VALUE"""),"Top 10")</f>
        <v>Top 10</v>
      </c>
      <c r="B2" s="24" t="str">
        <f ca="1">IFERROR(__xludf.DUMMYFUNCTION("""COMPUTED_VALUE"""),"DISC")</f>
        <v>DISC</v>
      </c>
      <c r="C2" s="24" t="str">
        <f ca="1">IFERROR(__xludf.DUMMYFUNCTION("""COMPUTED_VALUE"""),"International Symposium on DIStributed Computing")</f>
        <v>International Symposium on DIStributed Computing</v>
      </c>
      <c r="D2" s="24">
        <f ca="1">IFERROR(__xludf.DUMMYFUNCTION("""COMPUTED_VALUE"""),21)</f>
        <v>21</v>
      </c>
      <c r="E2" s="24" t="str">
        <f ca="1">IFERROR(__xludf.DUMMYFUNCTION("""COMPUTED_VALUE"""),"https://scholar.google.com.br/citations?hl=en&amp;view_op=list_hcore&amp;venue=I09_2V3FJhwJ.2018")</f>
        <v>https://scholar.google.com.br/citations?hl=en&amp;view_op=list_hcore&amp;venue=I09_2V3FJhwJ.2018</v>
      </c>
    </row>
    <row r="3" spans="1:25" ht="25.5" customHeight="1">
      <c r="A3" s="23" t="str">
        <f ca="1">IFERROR(__xludf.DUMMYFUNCTION("""COMPUTED_VALUE"""),"Top 10")</f>
        <v>Top 10</v>
      </c>
      <c r="B3" s="24" t="str">
        <f ca="1">IFERROR(__xludf.DUMMYFUNCTION("""COMPUTED_VALUE"""),"DSN")</f>
        <v>DSN</v>
      </c>
      <c r="C3" s="24" t="str">
        <f ca="1">IFERROR(__xludf.DUMMYFUNCTION("""COMPUTED_VALUE"""),"IEEE/IFIP International Conference on Dependable Systems and Networks")</f>
        <v>IEEE/IFIP International Conference on Dependable Systems and Networks</v>
      </c>
      <c r="D3" s="24">
        <f ca="1">IFERROR(__xludf.DUMMYFUNCTION("""COMPUTED_VALUE"""),33)</f>
        <v>33</v>
      </c>
      <c r="E3" s="24" t="str">
        <f ca="1">IFERROR(__xludf.DUMMYFUNCTION("""COMPUTED_VALUE"""),"https://scholar.google.com.br/citations?hl=en&amp;view_op=list_hcore&amp;venue=MVYbyyKMpToJ.2018")</f>
        <v>https://scholar.google.com.br/citations?hl=en&amp;view_op=list_hcore&amp;venue=MVYbyyKMpToJ.2018</v>
      </c>
    </row>
    <row r="4" spans="1:25" ht="25.5" customHeight="1">
      <c r="A4" s="23" t="str">
        <f ca="1">IFERROR(__xludf.DUMMYFUNCTION("""COMPUTED_VALUE"""),"Top 10")</f>
        <v>Top 10</v>
      </c>
      <c r="B4" s="24" t="str">
        <f ca="1">IFERROR(__xludf.DUMMYFUNCTION("""COMPUTED_VALUE"""),"EuroSys")</f>
        <v>EuroSys</v>
      </c>
      <c r="C4" s="24" t="str">
        <f ca="1">IFERROR(__xludf.DUMMYFUNCTION("""COMPUTED_VALUE"""),"ACM European Conference on Computer Systems")</f>
        <v>ACM European Conference on Computer Systems</v>
      </c>
      <c r="D4" s="24">
        <f ca="1">IFERROR(__xludf.DUMMYFUNCTION("""COMPUTED_VALUE"""),41)</f>
        <v>41</v>
      </c>
      <c r="E4" s="24" t="str">
        <f ca="1">IFERROR(__xludf.DUMMYFUNCTION("""COMPUTED_VALUE"""),"https://scholar.google.com.br/citations?hl=en&amp;view_op=list_hcore&amp;venue=8LhhnAnPYO8J.2018")</f>
        <v>https://scholar.google.com.br/citations?hl=en&amp;view_op=list_hcore&amp;venue=8LhhnAnPYO8J.2018</v>
      </c>
    </row>
    <row r="5" spans="1:25" ht="25.5" customHeight="1">
      <c r="A5" s="23" t="str">
        <f ca="1">IFERROR(__xludf.DUMMYFUNCTION("""COMPUTED_VALUE"""),"Top 10")</f>
        <v>Top 10</v>
      </c>
      <c r="B5" s="24" t="str">
        <f ca="1">IFERROR(__xludf.DUMMYFUNCTION("""COMPUTED_VALUE"""),"ICDCS")</f>
        <v>ICDCS</v>
      </c>
      <c r="C5" s="24" t="str">
        <f ca="1">IFERROR(__xludf.DUMMYFUNCTION("""COMPUTED_VALUE"""),"IEEE International Conference on Distributed Computing Systems")</f>
        <v>IEEE International Conference on Distributed Computing Systems</v>
      </c>
      <c r="D5" s="24">
        <f ca="1">IFERROR(__xludf.DUMMYFUNCTION("""COMPUTED_VALUE"""),35)</f>
        <v>35</v>
      </c>
      <c r="E5" s="24" t="str">
        <f ca="1">IFERROR(__xludf.DUMMYFUNCTION("""COMPUTED_VALUE"""),"https://scholar.google.com.br/citations?hl=en&amp;view_op=list_hcore&amp;venue=CiHz08Ia1nsJ.2018")</f>
        <v>https://scholar.google.com.br/citations?hl=en&amp;view_op=list_hcore&amp;venue=CiHz08Ia1nsJ.2018</v>
      </c>
    </row>
    <row r="6" spans="1:25" ht="25.5" customHeight="1">
      <c r="A6" s="23" t="str">
        <f ca="1">IFERROR(__xludf.DUMMYFUNCTION("""COMPUTED_VALUE"""),"Top 10")</f>
        <v>Top 10</v>
      </c>
      <c r="B6" s="24" t="str">
        <f ca="1">IFERROR(__xludf.DUMMYFUNCTION("""COMPUTED_VALUE"""),"IPDPS")</f>
        <v>IPDPS</v>
      </c>
      <c r="C6" s="24" t="str">
        <f ca="1">IFERROR(__xludf.DUMMYFUNCTION("""COMPUTED_VALUE"""),"IEEE International Symposium on Parallel &amp; Distributed Processing")</f>
        <v>IEEE International Symposium on Parallel &amp; Distributed Processing</v>
      </c>
      <c r="D6" s="24">
        <f ca="1">IFERROR(__xludf.DUMMYFUNCTION("""COMPUTED_VALUE"""),46)</f>
        <v>46</v>
      </c>
      <c r="E6" s="24" t="str">
        <f ca="1">IFERROR(__xludf.DUMMYFUNCTION("""COMPUTED_VALUE"""),"https://scholar.google.com.br/citations?hl=en&amp;view_op=list_hcore&amp;venue=Cge5_JoKLicJ.2018")</f>
        <v>https://scholar.google.com.br/citations?hl=en&amp;view_op=list_hcore&amp;venue=Cge5_JoKLicJ.2018</v>
      </c>
    </row>
    <row r="7" spans="1:25" ht="25.5" customHeight="1">
      <c r="A7" s="23" t="str">
        <f ca="1">IFERROR(__xludf.DUMMYFUNCTION("""COMPUTED_VALUE"""),"Top 10")</f>
        <v>Top 10</v>
      </c>
      <c r="B7" s="24" t="str">
        <f ca="1">IFERROR(__xludf.DUMMYFUNCTION("""COMPUTED_VALUE"""),"ISSRE")</f>
        <v>ISSRE</v>
      </c>
      <c r="C7" s="24" t="str">
        <f ca="1">IFERROR(__xludf.DUMMYFUNCTION("""COMPUTED_VALUE"""),"International Symposium on Software Reliability Engineering")</f>
        <v>International Symposium on Software Reliability Engineering</v>
      </c>
      <c r="D7" s="24">
        <f ca="1">IFERROR(__xludf.DUMMYFUNCTION("""COMPUTED_VALUE"""),24)</f>
        <v>24</v>
      </c>
      <c r="E7" s="24" t="str">
        <f ca="1">IFERROR(__xludf.DUMMYFUNCTION("""COMPUTED_VALUE"""),"https://scholar.google.com.br/citations?hl=en&amp;view_op=list_hcore&amp;venue=xJhIFxijeG8J.2018")</f>
        <v>https://scholar.google.com.br/citations?hl=en&amp;view_op=list_hcore&amp;venue=xJhIFxijeG8J.2018</v>
      </c>
    </row>
    <row r="8" spans="1:25" ht="25.5" customHeight="1">
      <c r="A8" s="23" t="str">
        <f ca="1">IFERROR(__xludf.DUMMYFUNCTION("""COMPUTED_VALUE"""),"Top 10")</f>
        <v>Top 10</v>
      </c>
      <c r="B8" s="25" t="str">
        <f ca="1">IFERROR(__xludf.DUMMYFUNCTION("""COMPUTED_VALUE"""),"MIDDLEWARE")</f>
        <v>MIDDLEWARE</v>
      </c>
      <c r="C8" s="25" t="str">
        <f ca="1">IFERROR(__xludf.DUMMYFUNCTION("""COMPUTED_VALUE"""),"ACM/IFIP International Middleware Conference")</f>
        <v>ACM/IFIP International Middleware Conference</v>
      </c>
      <c r="D8" s="24">
        <f ca="1">IFERROR(__xludf.DUMMYFUNCTION("""COMPUTED_VALUE"""),21)</f>
        <v>21</v>
      </c>
      <c r="E8" s="24" t="str">
        <f ca="1">IFERROR(__xludf.DUMMYFUNCTION("""COMPUTED_VALUE"""),"https://scholar.google.com.br/citations?hl=en&amp;view_op=list_hcore&amp;venue=NA4iP0Rm0toJ.2018")</f>
        <v>https://scholar.google.com.br/citations?hl=en&amp;view_op=list_hcore&amp;venue=NA4iP0Rm0toJ.2018</v>
      </c>
    </row>
    <row r="9" spans="1:25" ht="25.5" customHeight="1">
      <c r="A9" s="23" t="str">
        <f ca="1">IFERROR(__xludf.DUMMYFUNCTION("""COMPUTED_VALUE"""),"Top 10")</f>
        <v>Top 10</v>
      </c>
      <c r="B9" s="24" t="str">
        <f ca="1">IFERROR(__xludf.DUMMYFUNCTION("""COMPUTED_VALUE"""),"PODC")</f>
        <v>PODC</v>
      </c>
      <c r="C9" s="24" t="str">
        <f ca="1">IFERROR(__xludf.DUMMYFUNCTION("""COMPUTED_VALUE"""),"ACM Symposium on Principles of Distributed Computing")</f>
        <v>ACM Symposium on Principles of Distributed Computing</v>
      </c>
      <c r="D9" s="24">
        <f ca="1">IFERROR(__xludf.DUMMYFUNCTION("""COMPUTED_VALUE"""),27)</f>
        <v>27</v>
      </c>
      <c r="E9" s="24" t="str">
        <f ca="1">IFERROR(__xludf.DUMMYFUNCTION("""COMPUTED_VALUE"""),"https://scholar.google.com.br/citations?hl=en&amp;view_op=list_hcore&amp;venue=fcioh0Px5iMJ.2018")</f>
        <v>https://scholar.google.com.br/citations?hl=en&amp;view_op=list_hcore&amp;venue=fcioh0Px5iMJ.2018</v>
      </c>
    </row>
    <row r="10" spans="1:25" ht="25.5" customHeight="1">
      <c r="A10" s="23" t="str">
        <f ca="1">IFERROR(__xludf.DUMMYFUNCTION("""COMPUTED_VALUE"""),"Top 10")</f>
        <v>Top 10</v>
      </c>
      <c r="B10" s="24" t="str">
        <f ca="1">IFERROR(__xludf.DUMMYFUNCTION("""COMPUTED_VALUE"""),"SafeComp")</f>
        <v>SafeComp</v>
      </c>
      <c r="C10" s="24" t="str">
        <f ca="1">IFERROR(__xludf.DUMMYFUNCTION("""COMPUTED_VALUE"""),"International Conference on Computer Safety, Reliability and Security ")</f>
        <v xml:space="preserve">International Conference on Computer Safety, Reliability and Security </v>
      </c>
      <c r="D10" s="24">
        <f ca="1">IFERROR(__xludf.DUMMYFUNCTION("""COMPUTED_VALUE"""),14)</f>
        <v>14</v>
      </c>
      <c r="E10" s="24" t="str">
        <f ca="1">IFERROR(__xludf.DUMMYFUNCTION("""COMPUTED_VALUE"""),"https://scholar.google.com.br/citations?hl=en&amp;view_op=list_hcore&amp;venue=fWfpTei59DsJ.2018")</f>
        <v>https://scholar.google.com.br/citations?hl=en&amp;view_op=list_hcore&amp;venue=fWfpTei59DsJ.2018</v>
      </c>
    </row>
    <row r="11" spans="1:25" ht="25.5" customHeight="1">
      <c r="A11" s="23" t="str">
        <f ca="1">IFERROR(__xludf.DUMMYFUNCTION("""COMPUTED_VALUE"""),"Top 10")</f>
        <v>Top 10</v>
      </c>
      <c r="B11" s="24" t="str">
        <f ca="1">IFERROR(__xludf.DUMMYFUNCTION("""COMPUTED_VALUE"""),"SRDS")</f>
        <v>SRDS</v>
      </c>
      <c r="C11" s="24" t="str">
        <f ca="1">IFERROR(__xludf.DUMMYFUNCTION("""COMPUTED_VALUE"""),"IEEE Symposium on Reliable Distributed Systems")</f>
        <v>IEEE Symposium on Reliable Distributed Systems</v>
      </c>
      <c r="D11" s="24">
        <f ca="1">IFERROR(__xludf.DUMMYFUNCTION("""COMPUTED_VALUE"""),15)</f>
        <v>15</v>
      </c>
      <c r="E11" s="24" t="str">
        <f ca="1">IFERROR(__xludf.DUMMYFUNCTION("""COMPUTED_VALUE"""),"https://scholar.google.com.br/citations?hl=en&amp;view_op=list_hcore&amp;venue=jMvtRj_Yg6wJ.2018")</f>
        <v>https://scholar.google.com.br/citations?hl=en&amp;view_op=list_hcore&amp;venue=jMvtRj_Yg6wJ.2018</v>
      </c>
    </row>
    <row r="12" spans="1:25" ht="25.5" customHeight="1">
      <c r="A12" s="26" t="str">
        <f ca="1">IFERROR(__xludf.DUMMYFUNCTION("""COMPUTED_VALUE"""),"Top 20")</f>
        <v>Top 20</v>
      </c>
      <c r="B12" s="24" t="str">
        <f ca="1">IFERROR(__xludf.DUMMYFUNCTION("""COMPUTED_VALUE"""),"DFT")</f>
        <v>DFT</v>
      </c>
      <c r="C12" s="24" t="str">
        <f ca="1">IFERROR(__xludf.DUMMYFUNCTION("""COMPUTED_VALUE"""),"IEEE International Symposium on Defect and Fault Tolerance in VLSI and Nanotechnology Systems")</f>
        <v>IEEE International Symposium on Defect and Fault Tolerance in VLSI and Nanotechnology Systems</v>
      </c>
      <c r="D12" s="24">
        <f ca="1">IFERROR(__xludf.DUMMYFUNCTION("""COMPUTED_VALUE"""),13)</f>
        <v>13</v>
      </c>
      <c r="E12" s="24" t="str">
        <f ca="1">IFERROR(__xludf.DUMMYFUNCTION("""COMPUTED_VALUE"""),"https://scholar.google.com.br/citations?hl=en&amp;view_op=list_hcore&amp;venue=y53zu2cNqqkJ.2018")</f>
        <v>https://scholar.google.com.br/citations?hl=en&amp;view_op=list_hcore&amp;venue=y53zu2cNqqkJ.2018</v>
      </c>
    </row>
    <row r="13" spans="1:25" ht="25.5" customHeight="1">
      <c r="A13" s="26" t="str">
        <f ca="1">IFERROR(__xludf.DUMMYFUNCTION("""COMPUTED_VALUE"""),"Top 20")</f>
        <v>Top 20</v>
      </c>
      <c r="B13" s="24" t="str">
        <f ca="1">IFERROR(__xludf.DUMMYFUNCTION("""COMPUTED_VALUE"""),"EDCC")</f>
        <v>EDCC</v>
      </c>
      <c r="C13" s="24" t="str">
        <f ca="1">IFERROR(__xludf.DUMMYFUNCTION("""COMPUTED_VALUE"""),"European Dependable Computing Conference")</f>
        <v>European Dependable Computing Conference</v>
      </c>
      <c r="D13" s="24">
        <f ca="1">IFERROR(__xludf.DUMMYFUNCTION("""COMPUTED_VALUE"""),10)</f>
        <v>10</v>
      </c>
      <c r="E13" s="24" t="str">
        <f ca="1">IFERROR(__xludf.DUMMYFUNCTION("""COMPUTED_VALUE"""),"https://scholar.google.com.br/citations?hl=en&amp;view_op=list_hcore&amp;venue=o7m_477rT9kJ.2018")</f>
        <v>https://scholar.google.com.br/citations?hl=en&amp;view_op=list_hcore&amp;venue=o7m_477rT9kJ.2018</v>
      </c>
    </row>
    <row r="14" spans="1:25" ht="25.5" customHeight="1">
      <c r="A14" s="26" t="str">
        <f ca="1">IFERROR(__xludf.DUMMYFUNCTION("""COMPUTED_VALUE"""),"Top 20")</f>
        <v>Top 20</v>
      </c>
      <c r="B14" s="24" t="str">
        <f ca="1">IFERROR(__xludf.DUMMYFUNCTION("""COMPUTED_VALUE"""),"HASE")</f>
        <v>HASE</v>
      </c>
      <c r="C14" s="24" t="str">
        <f ca="1">IFERROR(__xludf.DUMMYFUNCTION("""COMPUTED_VALUE"""),"IEEE High Assurance Systems Engineering Symposium")</f>
        <v>IEEE High Assurance Systems Engineering Symposium</v>
      </c>
      <c r="D14" s="24">
        <f ca="1">IFERROR(__xludf.DUMMYFUNCTION("""COMPUTED_VALUE"""),12)</f>
        <v>12</v>
      </c>
      <c r="E14" s="24" t="str">
        <f ca="1">IFERROR(__xludf.DUMMYFUNCTION("""COMPUTED_VALUE"""),"https://scholar.google.com.br/citations?hl=en&amp;view_op=list_hcore&amp;venue=EhHHXze7CIMJ.2018")</f>
        <v>https://scholar.google.com.br/citations?hl=en&amp;view_op=list_hcore&amp;venue=EhHHXze7CIMJ.2018</v>
      </c>
    </row>
    <row r="15" spans="1:25" ht="25.5" customHeight="1">
      <c r="A15" s="26" t="str">
        <f ca="1">IFERROR(__xludf.DUMMYFUNCTION("""COMPUTED_VALUE"""),"Top 20")</f>
        <v>Top 20</v>
      </c>
      <c r="B15" s="24" t="str">
        <f ca="1">IFERROR(__xludf.DUMMYFUNCTION("""COMPUTED_VALUE"""),"ICDCN")</f>
        <v>ICDCN</v>
      </c>
      <c r="C15" s="24" t="str">
        <f ca="1">IFERROR(__xludf.DUMMYFUNCTION("""COMPUTED_VALUE"""),"International Conference on Distributed Computing and Networking")</f>
        <v>International Conference on Distributed Computing and Networking</v>
      </c>
      <c r="D15" s="24">
        <f ca="1">IFERROR(__xludf.DUMMYFUNCTION("""COMPUTED_VALUE"""),18)</f>
        <v>18</v>
      </c>
      <c r="E15" s="24"/>
    </row>
    <row r="16" spans="1:25" ht="25.5" customHeight="1">
      <c r="A16" s="26" t="str">
        <f ca="1">IFERROR(__xludf.DUMMYFUNCTION("""COMPUTED_VALUE"""),"Top 20")</f>
        <v>Top 20</v>
      </c>
      <c r="B16" s="24" t="str">
        <f ca="1">IFERROR(__xludf.DUMMYFUNCTION("""COMPUTED_VALUE"""),"ISCC")</f>
        <v>ISCC</v>
      </c>
      <c r="C16" s="24" t="str">
        <f ca="1">IFERROR(__xludf.DUMMYFUNCTION("""COMPUTED_VALUE"""),"IEEE Symposium on Computers and Communications")</f>
        <v>IEEE Symposium on Computers and Communications</v>
      </c>
      <c r="D16" s="24">
        <f ca="1">IFERROR(__xludf.DUMMYFUNCTION("""COMPUTED_VALUE"""),20)</f>
        <v>20</v>
      </c>
      <c r="E16" s="24" t="str">
        <f ca="1">IFERROR(__xludf.DUMMYFUNCTION("""COMPUTED_VALUE"""),"https://scholar.google.com.br/citations?hl=en&amp;view_op=list_hcore&amp;venue=0jK8bHjCH68J.2018")</f>
        <v>https://scholar.google.com.br/citations?hl=en&amp;view_op=list_hcore&amp;venue=0jK8bHjCH68J.2018</v>
      </c>
    </row>
    <row r="17" spans="1:5" ht="25.5" customHeight="1">
      <c r="A17" s="26" t="str">
        <f ca="1">IFERROR(__xludf.DUMMYFUNCTION("""COMPUTED_VALUE"""),"Top 20")</f>
        <v>Top 20</v>
      </c>
      <c r="B17" s="24" t="str">
        <f ca="1">IFERROR(__xludf.DUMMYFUNCTION("""COMPUTED_VALUE"""),"LADC")</f>
        <v>LADC</v>
      </c>
      <c r="C17" s="24" t="str">
        <f ca="1">IFERROR(__xludf.DUMMYFUNCTION("""COMPUTED_VALUE"""),"Latin-American Symposium on Dependable Computing")</f>
        <v>Latin-American Symposium on Dependable Computing</v>
      </c>
      <c r="D17" s="24">
        <f ca="1">IFERROR(__xludf.DUMMYFUNCTION("""COMPUTED_VALUE"""),8)</f>
        <v>8</v>
      </c>
      <c r="E17" s="24"/>
    </row>
    <row r="18" spans="1:5" ht="25.5" customHeight="1">
      <c r="A18" s="26" t="str">
        <f ca="1">IFERROR(__xludf.DUMMYFUNCTION("""COMPUTED_VALUE"""),"Top 20")</f>
        <v>Top 20</v>
      </c>
      <c r="B18" s="24" t="str">
        <f ca="1">IFERROR(__xludf.DUMMYFUNCTION("""COMPUTED_VALUE"""),"OPODIS")</f>
        <v>OPODIS</v>
      </c>
      <c r="C18" s="25" t="str">
        <f ca="1">IFERROR(__xludf.DUMMYFUNCTION("""COMPUTED_VALUE"""),"International Conference on Principles of Distributed Systems")</f>
        <v>International Conference on Principles of Distributed Systems</v>
      </c>
      <c r="D18" s="24">
        <f ca="1">IFERROR(__xludf.DUMMYFUNCTION("""COMPUTED_VALUE"""),12)</f>
        <v>12</v>
      </c>
      <c r="E18" s="24" t="str">
        <f ca="1">IFERROR(__xludf.DUMMYFUNCTION("""COMPUTED_VALUE"""),"https://scholar.google.com.br/citations?hl=en&amp;view_op=list_hcore&amp;venue=0luRC0xHVlsJ.2018")</f>
        <v>https://scholar.google.com.br/citations?hl=en&amp;view_op=list_hcore&amp;venue=0luRC0xHVlsJ.2018</v>
      </c>
    </row>
    <row r="19" spans="1:5" ht="25.5" customHeight="1">
      <c r="A19" s="26" t="str">
        <f ca="1">IFERROR(__xludf.DUMMYFUNCTION("""COMPUTED_VALUE"""),"Top 20")</f>
        <v>Top 20</v>
      </c>
      <c r="B19" s="24" t="str">
        <f ca="1">IFERROR(__xludf.DUMMYFUNCTION("""COMPUTED_VALUE"""),"PRDC")</f>
        <v>PRDC</v>
      </c>
      <c r="C19" s="24" t="str">
        <f ca="1">IFERROR(__xludf.DUMMYFUNCTION("""COMPUTED_VALUE"""),"Pacific Rim International Symposium on Dependable Computing")</f>
        <v>Pacific Rim International Symposium on Dependable Computing</v>
      </c>
      <c r="D19" s="24">
        <f ca="1">IFERROR(__xludf.DUMMYFUNCTION("""COMPUTED_VALUE"""),11)</f>
        <v>11</v>
      </c>
      <c r="E19" s="24" t="str">
        <f ca="1">IFERROR(__xludf.DUMMYFUNCTION("""COMPUTED_VALUE"""),"https://scholar.google.com.br/citations?hl=en&amp;view_op=list_hcore&amp;venue=UMMGw1KV79IJ.2018")</f>
        <v>https://scholar.google.com.br/citations?hl=en&amp;view_op=list_hcore&amp;venue=UMMGw1KV79IJ.2018</v>
      </c>
    </row>
    <row r="20" spans="1:5" ht="25.5" customHeight="1">
      <c r="A20" s="26" t="str">
        <f ca="1">IFERROR(__xludf.DUMMYFUNCTION("""COMPUTED_VALUE"""),"Top 20")</f>
        <v>Top 20</v>
      </c>
      <c r="B20" s="24" t="str">
        <f ca="1">IFERROR(__xludf.DUMMYFUNCTION("""COMPUTED_VALUE"""),"SAST")</f>
        <v>SAST</v>
      </c>
      <c r="C20" s="24" t="str">
        <f ca="1">IFERROR(__xludf.DUMMYFUNCTION("""COMPUTED_VALUE"""),"Brazilian Symposium on Systematic and Automated Software Testing")</f>
        <v>Brazilian Symposium on Systematic and Automated Software Testing</v>
      </c>
      <c r="D20" s="24">
        <f ca="1">IFERROR(__xludf.DUMMYFUNCTION("""COMPUTED_VALUE"""),5)</f>
        <v>5</v>
      </c>
      <c r="E20" s="24"/>
    </row>
    <row r="21" spans="1:5" ht="25.5" customHeight="1">
      <c r="A21" s="26" t="str">
        <f ca="1">IFERROR(__xludf.DUMMYFUNCTION("""COMPUTED_VALUE"""),"Top 20")</f>
        <v>Top 20</v>
      </c>
      <c r="B21" s="24" t="str">
        <f ca="1">IFERROR(__xludf.DUMMYFUNCTION("""COMPUTED_VALUE"""),"SYSTOL")</f>
        <v>SYSTOL</v>
      </c>
      <c r="C21" s="24" t="str">
        <f ca="1">IFERROR(__xludf.DUMMYFUNCTION("""COMPUTED_VALUE"""),"Conference on Control and Fault-Tolerant Systems")</f>
        <v>Conference on Control and Fault-Tolerant Systems</v>
      </c>
      <c r="D21" s="24">
        <f ca="1">IFERROR(__xludf.DUMMYFUNCTION("""COMPUTED_VALUE"""),14)</f>
        <v>14</v>
      </c>
      <c r="E21" s="24" t="str">
        <f ca="1">IFERROR(__xludf.DUMMYFUNCTION("""COMPUTED_VALUE"""),"https://scholar.google.com.br/citations?hl=en&amp;view_op=list_hcore&amp;venue=y8-AwXJ0Me0J.2018")</f>
        <v>https://scholar.google.com.br/citations?hl=en&amp;view_op=list_hcore&amp;venue=y8-AwXJ0Me0J.2018</v>
      </c>
    </row>
    <row r="22" spans="1:5" ht="25.5" customHeight="1">
      <c r="A22" s="27" t="str">
        <f ca="1">IFERROR(__xludf.DUMMYFUNCTION("""COMPUTED_VALUE"""),"Eventos da Área")</f>
        <v>Eventos da Área</v>
      </c>
      <c r="B22" s="24" t="str">
        <f ca="1">IFERROR(__xludf.DUMMYFUNCTION("""COMPUTED_VALUE"""),"AINA")</f>
        <v>AINA</v>
      </c>
      <c r="C22" s="24" t="str">
        <f ca="1">IFERROR(__xludf.DUMMYFUNCTION("""COMPUTED_VALUE"""),"IEEE International Conference on Advanced Information Networking and Applications")</f>
        <v>IEEE International Conference on Advanced Information Networking and Applications</v>
      </c>
      <c r="D22" s="24">
        <f ca="1">IFERROR(__xludf.DUMMYFUNCTION("""COMPUTED_VALUE"""),28)</f>
        <v>28</v>
      </c>
      <c r="E22" s="24" t="str">
        <f ca="1">IFERROR(__xludf.DUMMYFUNCTION("""COMPUTED_VALUE"""),"https://scholar.google.com.br/citations?hl=en&amp;view_op=list_hcore&amp;venue=HQxJsAeEXPkJ.2019")</f>
        <v>https://scholar.google.com.br/citations?hl=en&amp;view_op=list_hcore&amp;venue=HQxJsAeEXPkJ.2019</v>
      </c>
    </row>
    <row r="23" spans="1:5" ht="25.5" customHeight="1">
      <c r="A23" s="27" t="str">
        <f ca="1">IFERROR(__xludf.DUMMYFUNCTION("""COMPUTED_VALUE"""),"Eventos da Área")</f>
        <v>Eventos da Área</v>
      </c>
      <c r="B23" s="24" t="str">
        <f ca="1">IFERROR(__xludf.DUMMYFUNCTION("""COMPUTED_VALUE"""),"DEPCOS")</f>
        <v>DEPCOS</v>
      </c>
      <c r="C23" s="24" t="str">
        <f ca="1">IFERROR(__xludf.DUMMYFUNCTION("""COMPUTED_VALUE"""),"International Conference on Dependability of Computer Systems")</f>
        <v>International Conference on Dependability of Computer Systems</v>
      </c>
      <c r="D23" s="24">
        <f ca="1">IFERROR(__xludf.DUMMYFUNCTION("""COMPUTED_VALUE"""),13)</f>
        <v>13</v>
      </c>
      <c r="E23" s="24" t="str">
        <f ca="1">IFERROR(__xludf.DUMMYFUNCTION("""COMPUTED_VALUE"""),"https://scholar.google.com.br/citations?hl=en&amp;view_op=list_hcore&amp;venue=intKDWeQOfwJ.2018")</f>
        <v>https://scholar.google.com.br/citations?hl=en&amp;view_op=list_hcore&amp;venue=intKDWeQOfwJ.2018</v>
      </c>
    </row>
    <row r="24" spans="1:5" ht="25.5" customHeight="1">
      <c r="A24" s="27" t="str">
        <f ca="1">IFERROR(__xludf.DUMMYFUNCTION("""COMPUTED_VALUE"""),"Eventos da Área")</f>
        <v>Eventos da Área</v>
      </c>
      <c r="B24" s="24" t="str">
        <f ca="1">IFERROR(__xludf.DUMMYFUNCTION("""COMPUTED_VALUE"""),"DSNW")</f>
        <v>DSNW</v>
      </c>
      <c r="C24" s="24" t="str">
        <f ca="1">IFERROR(__xludf.DUMMYFUNCTION("""COMPUTED_VALUE"""),"IEEE International Conference on Dependable Systems and Networks Workshops")</f>
        <v>IEEE International Conference on Dependable Systems and Networks Workshops</v>
      </c>
      <c r="D24" s="24">
        <f ca="1">IFERROR(__xludf.DUMMYFUNCTION("""COMPUTED_VALUE"""),6)</f>
        <v>6</v>
      </c>
      <c r="E24" s="24"/>
    </row>
    <row r="25" spans="1:5" ht="25.5" customHeight="1">
      <c r="A25" s="27" t="str">
        <f ca="1">IFERROR(__xludf.DUMMYFUNCTION("""COMPUTED_VALUE"""),"Eventos da Área")</f>
        <v>Eventos da Área</v>
      </c>
      <c r="B25" s="24" t="str">
        <f ca="1">IFERROR(__xludf.DUMMYFUNCTION("""COMPUTED_VALUE"""),"ICA3PP")</f>
        <v>ICA3PP</v>
      </c>
      <c r="C25" s="24" t="str">
        <f ca="1">IFERROR(__xludf.DUMMYFUNCTION("""COMPUTED_VALUE"""),"International Conference on Algorithms and Architectures for Parallel Processing")</f>
        <v>International Conference on Algorithms and Architectures for Parallel Processing</v>
      </c>
      <c r="D25" s="24">
        <f ca="1">IFERROR(__xludf.DUMMYFUNCTION("""COMPUTED_VALUE"""),12)</f>
        <v>12</v>
      </c>
      <c r="E25" s="24" t="str">
        <f ca="1">IFERROR(__xludf.DUMMYFUNCTION("""COMPUTED_VALUE"""),"https://scholar.google.com.br/citations?hl=en&amp;view_op=list_hcore&amp;venue=SrrjCUAZeRcJ.2019")</f>
        <v>https://scholar.google.com.br/citations?hl=en&amp;view_op=list_hcore&amp;venue=SrrjCUAZeRcJ.2019</v>
      </c>
    </row>
    <row r="26" spans="1:5" ht="25.5" customHeight="1">
      <c r="A26" s="27" t="str">
        <f ca="1">IFERROR(__xludf.DUMMYFUNCTION("""COMPUTED_VALUE"""),"Eventos da Área")</f>
        <v>Eventos da Área</v>
      </c>
      <c r="B26" s="24" t="str">
        <f ca="1">IFERROR(__xludf.DUMMYFUNCTION("""COMPUTED_VALUE"""),"ICDCSW")</f>
        <v>ICDCSW</v>
      </c>
      <c r="C26" s="24" t="str">
        <f ca="1">IFERROR(__xludf.DUMMYFUNCTION("""COMPUTED_VALUE"""),"International Conference on Distributed Computing Systems Workshops")</f>
        <v>International Conference on Distributed Computing Systems Workshops</v>
      </c>
      <c r="D26" s="24">
        <f ca="1">IFERROR(__xludf.DUMMYFUNCTION("""COMPUTED_VALUE"""),15)</f>
        <v>15</v>
      </c>
      <c r="E26" s="24" t="str">
        <f ca="1">IFERROR(__xludf.DUMMYFUNCTION("""COMPUTED_VALUE"""),"https://scholar.google.com.br/citations?hl=en&amp;view_op=list_hcore&amp;venue=iYMCTRkCEn4J.2018")</f>
        <v>https://scholar.google.com.br/citations?hl=en&amp;view_op=list_hcore&amp;venue=iYMCTRkCEn4J.2018</v>
      </c>
    </row>
    <row r="27" spans="1:5" ht="25.5" customHeight="1">
      <c r="A27" s="27" t="str">
        <f ca="1">IFERROR(__xludf.DUMMYFUNCTION("""COMPUTED_VALUE"""),"Eventos da Área")</f>
        <v>Eventos da Área</v>
      </c>
      <c r="B27" s="24" t="str">
        <f ca="1">IFERROR(__xludf.DUMMYFUNCTION("""COMPUTED_VALUE"""),"ICPADS")</f>
        <v>ICPADS</v>
      </c>
      <c r="C27" s="24" t="str">
        <f ca="1">IFERROR(__xludf.DUMMYFUNCTION("""COMPUTED_VALUE"""),"IEEE International Conference on Parallel and Distributed Systems")</f>
        <v>IEEE International Conference on Parallel and Distributed Systems</v>
      </c>
      <c r="D27" s="24">
        <f ca="1">IFERROR(__xludf.DUMMYFUNCTION("""COMPUTED_VALUE"""),15)</f>
        <v>15</v>
      </c>
      <c r="E27" s="24" t="str">
        <f ca="1">IFERROR(__xludf.DUMMYFUNCTION("""COMPUTED_VALUE"""),"https://scholar.google.com.br/citations?hl=en&amp;view_op=list_hcore&amp;venue=J2WvLRIhE6UJ.2019")</f>
        <v>https://scholar.google.com.br/citations?hl=en&amp;view_op=list_hcore&amp;venue=J2WvLRIhE6UJ.2019</v>
      </c>
    </row>
    <row r="28" spans="1:5" ht="25.5" customHeight="1">
      <c r="A28" s="27" t="str">
        <f ca="1">IFERROR(__xludf.DUMMYFUNCTION("""COMPUTED_VALUE"""),"Eventos da Área")</f>
        <v>Eventos da Área</v>
      </c>
      <c r="B28" s="24" t="str">
        <f ca="1">IFERROR(__xludf.DUMMYFUNCTION("""COMPUTED_VALUE"""),"ICPP")</f>
        <v>ICPP</v>
      </c>
      <c r="C28" s="24" t="str">
        <f ca="1">IFERROR(__xludf.DUMMYFUNCTION("""COMPUTED_VALUE"""),"International Conference on Parallel Processing")</f>
        <v>International Conference on Parallel Processing</v>
      </c>
      <c r="D28" s="24">
        <f ca="1">IFERROR(__xludf.DUMMYFUNCTION("""COMPUTED_VALUE"""),11)</f>
        <v>11</v>
      </c>
      <c r="E28" s="24" t="str">
        <f ca="1">IFERROR(__xludf.DUMMYFUNCTION("""COMPUTED_VALUE"""),"https://scholar.google.com.br/citations?hl=en&amp;view_op=list_hcore&amp;venue=x2Xq7JEL5msJ.2019")</f>
        <v>https://scholar.google.com.br/citations?hl=en&amp;view_op=list_hcore&amp;venue=x2Xq7JEL5msJ.2019</v>
      </c>
    </row>
    <row r="29" spans="1:5" ht="25.5" customHeight="1">
      <c r="A29" s="27" t="str">
        <f ca="1">IFERROR(__xludf.DUMMYFUNCTION("""COMPUTED_VALUE"""),"Eventos da Área")</f>
        <v>Eventos da Área</v>
      </c>
      <c r="B29" s="24" t="str">
        <f ca="1">IFERROR(__xludf.DUMMYFUNCTION("""COMPUTED_VALUE"""),"ISPDC")</f>
        <v>ISPDC</v>
      </c>
      <c r="C29" s="24" t="str">
        <f ca="1">IFERROR(__xludf.DUMMYFUNCTION("""COMPUTED_VALUE"""),"International Symposium on Parallel and Distributed Computing")</f>
        <v>International Symposium on Parallel and Distributed Computing</v>
      </c>
      <c r="D29" s="24">
        <f ca="1">IFERROR(__xludf.DUMMYFUNCTION("""COMPUTED_VALUE"""),10)</f>
        <v>10</v>
      </c>
      <c r="E29" s="24" t="str">
        <f ca="1">IFERROR(__xludf.DUMMYFUNCTION("""COMPUTED_VALUE"""),"https://scholar.google.com.br/citations?hl=en&amp;view_op=list_hcore&amp;venue=a1hgjTIprNcJ.2019")</f>
        <v>https://scholar.google.com.br/citations?hl=en&amp;view_op=list_hcore&amp;venue=a1hgjTIprNcJ.2019</v>
      </c>
    </row>
    <row r="30" spans="1:5" ht="25.5" customHeight="1">
      <c r="A30" s="27" t="str">
        <f ca="1">IFERROR(__xludf.DUMMYFUNCTION("""COMPUTED_VALUE"""),"Eventos da Área")</f>
        <v>Eventos da Área</v>
      </c>
      <c r="B30" s="24" t="str">
        <f ca="1">IFERROR(__xludf.DUMMYFUNCTION("""COMPUTED_VALUE"""),"LATS")</f>
        <v>LATS</v>
      </c>
      <c r="C30" s="24" t="str">
        <f ca="1">IFERROR(__xludf.DUMMYFUNCTION("""COMPUTED_VALUE"""),"IEEE Latin American Test Symposium")</f>
        <v>IEEE Latin American Test Symposium</v>
      </c>
      <c r="D30" s="24">
        <f ca="1">IFERROR(__xludf.DUMMYFUNCTION("""COMPUTED_VALUE"""),9)</f>
        <v>9</v>
      </c>
      <c r="E30" s="24" t="str">
        <f ca="1">IFERROR(__xludf.DUMMYFUNCTION("""COMPUTED_VALUE"""),"https://scholar.google.com.br/citations?hl=en&amp;view_op=list_hcore&amp;venue=IdSNHXeKP5gJ.2019")</f>
        <v>https://scholar.google.com.br/citations?hl=en&amp;view_op=list_hcore&amp;venue=IdSNHXeKP5gJ.2019</v>
      </c>
    </row>
    <row r="31" spans="1:5" ht="25.5" customHeight="1">
      <c r="A31" s="27" t="str">
        <f ca="1">IFERROR(__xludf.DUMMYFUNCTION("""COMPUTED_VALUE"""),"Eventos da Área")</f>
        <v>Eventos da Área</v>
      </c>
      <c r="B31" s="24" t="str">
        <f ca="1">IFERROR(__xludf.DUMMYFUNCTION("""COMPUTED_VALUE"""),"NCA")</f>
        <v>NCA</v>
      </c>
      <c r="C31" s="24" t="str">
        <f ca="1">IFERROR(__xludf.DUMMYFUNCTION("""COMPUTED_VALUE"""),"IEEE International Symposium on Network Computing and Applications")</f>
        <v>IEEE International Symposium on Network Computing and Applications</v>
      </c>
      <c r="D31" s="24">
        <f ca="1">IFERROR(__xludf.DUMMYFUNCTION("""COMPUTED_VALUE"""),15)</f>
        <v>15</v>
      </c>
      <c r="E31" s="24" t="str">
        <f ca="1">IFERROR(__xludf.DUMMYFUNCTION("""COMPUTED_VALUE"""),"https://scholar.google.com.br/citations?hl=en&amp;view_op=list_hcore&amp;venue=lTgG3I7tby0J.2019")</f>
        <v>https://scholar.google.com.br/citations?hl=en&amp;view_op=list_hcore&amp;venue=lTgG3I7tby0J.2019</v>
      </c>
    </row>
    <row r="32" spans="1:5" ht="25.5" customHeight="1">
      <c r="A32" s="27" t="str">
        <f ca="1">IFERROR(__xludf.DUMMYFUNCTION("""COMPUTED_VALUE"""),"Eventos da Área")</f>
        <v>Eventos da Área</v>
      </c>
      <c r="B32" s="24" t="str">
        <f ca="1">IFERROR(__xludf.DUMMYFUNCTION("""COMPUTED_VALUE"""),"NSDI")</f>
        <v>NSDI</v>
      </c>
      <c r="C32" s="24" t="str">
        <f ca="1">IFERROR(__xludf.DUMMYFUNCTION("""COMPUTED_VALUE"""),"USENIX Symposium on Networked Systems Design and Implementation")</f>
        <v>USENIX Symposium on Networked Systems Design and Implementation</v>
      </c>
      <c r="D32" s="24">
        <f ca="1">IFERROR(__xludf.DUMMYFUNCTION("""COMPUTED_VALUE"""),62)</f>
        <v>62</v>
      </c>
      <c r="E32" s="24" t="str">
        <f ca="1">IFERROR(__xludf.DUMMYFUNCTION("""COMPUTED_VALUE"""),"https://scholar.google.com.br/citations?hl=en&amp;view_op=list_hcore&amp;venue=J92rQU3cJVwJ.2019")</f>
        <v>https://scholar.google.com.br/citations?hl=en&amp;view_op=list_hcore&amp;venue=J92rQU3cJVwJ.2019</v>
      </c>
    </row>
    <row r="33" spans="1:5" ht="25.5" customHeight="1">
      <c r="A33" s="27" t="str">
        <f ca="1">IFERROR(__xludf.DUMMYFUNCTION("""COMPUTED_VALUE"""),"Eventos da Área")</f>
        <v>Eventos da Área</v>
      </c>
      <c r="B33" s="24" t="str">
        <f ca="1">IFERROR(__xludf.DUMMYFUNCTION("""COMPUTED_VALUE"""),"OSDI")</f>
        <v>OSDI</v>
      </c>
      <c r="C33" s="24" t="str">
        <f ca="1">IFERROR(__xludf.DUMMYFUNCTION("""COMPUTED_VALUE"""),"USENIX Symposium on Operating Systems Design and Implementation")</f>
        <v>USENIX Symposium on Operating Systems Design and Implementation</v>
      </c>
      <c r="D33" s="24">
        <f ca="1">IFERROR(__xludf.DUMMYFUNCTION("""COMPUTED_VALUE"""),49)</f>
        <v>49</v>
      </c>
      <c r="E33" s="24" t="str">
        <f ca="1">IFERROR(__xludf.DUMMYFUNCTION("""COMPUTED_VALUE"""),"https://scholar.google.com.br/citations?hl=en&amp;view_op=list_hcore&amp;venue=nZZ8G3Einp0J.2019")</f>
        <v>https://scholar.google.com.br/citations?hl=en&amp;view_op=list_hcore&amp;venue=nZZ8G3Einp0J.2019</v>
      </c>
    </row>
    <row r="34" spans="1:5" ht="25.5" customHeight="1">
      <c r="A34" s="27" t="str">
        <f ca="1">IFERROR(__xludf.DUMMYFUNCTION("""COMPUTED_VALUE"""),"Eventos da Área")</f>
        <v>Eventos da Área</v>
      </c>
      <c r="B34" s="24" t="str">
        <f ca="1">IFERROR(__xludf.DUMMYFUNCTION("""COMPUTED_VALUE"""),"SBAC-PAD")</f>
        <v>SBAC-PAD</v>
      </c>
      <c r="C34" s="24" t="str">
        <f ca="1">IFERROR(__xludf.DUMMYFUNCTION("""COMPUTED_VALUE"""),"International Symposium on Computer Architecture and High Performance Computing")</f>
        <v>International Symposium on Computer Architecture and High Performance Computing</v>
      </c>
      <c r="D34" s="24">
        <f ca="1">IFERROR(__xludf.DUMMYFUNCTION("""COMPUTED_VALUE"""),14)</f>
        <v>14</v>
      </c>
      <c r="E34" s="24" t="str">
        <f ca="1">IFERROR(__xludf.DUMMYFUNCTION("""COMPUTED_VALUE"""),"https://scholar.google.com.br/citations?hl=en&amp;view_op=list_hcore&amp;venue=xujU2BmpDawJ.2019")</f>
        <v>https://scholar.google.com.br/citations?hl=en&amp;view_op=list_hcore&amp;venue=xujU2BmpDawJ.2019</v>
      </c>
    </row>
    <row r="35" spans="1:5" ht="25.5" customHeight="1">
      <c r="A35" s="27" t="str">
        <f ca="1">IFERROR(__xludf.DUMMYFUNCTION("""COMPUTED_VALUE"""),"Eventos da Área")</f>
        <v>Eventos da Área</v>
      </c>
      <c r="B35" s="24" t="str">
        <f ca="1">IFERROR(__xludf.DUMMYFUNCTION("""COMPUTED_VALUE"""),"SBESC")</f>
        <v>SBESC</v>
      </c>
      <c r="C35" s="24" t="str">
        <f ca="1">IFERROR(__xludf.DUMMYFUNCTION("""COMPUTED_VALUE"""),"Brazilian Symposium on Computing Systems Engineering")</f>
        <v>Brazilian Symposium on Computing Systems Engineering</v>
      </c>
      <c r="D35" s="24">
        <f ca="1">IFERROR(__xludf.DUMMYFUNCTION("""COMPUTED_VALUE"""),6)</f>
        <v>6</v>
      </c>
      <c r="E35" s="24"/>
    </row>
    <row r="36" spans="1:5" ht="25.5" customHeight="1">
      <c r="A36" s="27" t="str">
        <f ca="1">IFERROR(__xludf.DUMMYFUNCTION("""COMPUTED_VALUE"""),"Eventos da Área")</f>
        <v>Eventos da Área</v>
      </c>
      <c r="B36" s="24" t="str">
        <f ca="1">IFERROR(__xludf.DUMMYFUNCTION("""COMPUTED_VALUE"""),"SBRC")</f>
        <v>SBRC</v>
      </c>
      <c r="C36" s="24" t="str">
        <f ca="1">IFERROR(__xludf.DUMMYFUNCTION("""COMPUTED_VALUE"""),"Simpósio Brasileiro de Redes de Computadores e Sistemas Distribuídos")</f>
        <v>Simpósio Brasileiro de Redes de Computadores e Sistemas Distribuídos</v>
      </c>
      <c r="D36" s="24">
        <f ca="1">IFERROR(__xludf.DUMMYFUNCTION("""COMPUTED_VALUE"""),7)</f>
        <v>7</v>
      </c>
      <c r="E36" s="24"/>
    </row>
    <row r="37" spans="1:5" ht="25.5" customHeight="1">
      <c r="A37" s="27" t="str">
        <f ca="1">IFERROR(__xludf.DUMMYFUNCTION("""COMPUTED_VALUE"""),"Eventos da Área")</f>
        <v>Eventos da Área</v>
      </c>
      <c r="B37" s="24" t="str">
        <f ca="1">IFERROR(__xludf.DUMMYFUNCTION("""COMPUTED_VALUE"""),"SBSeg")</f>
        <v>SBSeg</v>
      </c>
      <c r="C37" s="24" t="str">
        <f ca="1">IFERROR(__xludf.DUMMYFUNCTION("""COMPUTED_VALUE"""),"Simpósio Brasileiro de Segurança da Informação e de Sistemas Computacionais")</f>
        <v>Simpósio Brasileiro de Segurança da Informação e de Sistemas Computacionais</v>
      </c>
      <c r="D37" s="24">
        <f ca="1">IFERROR(__xludf.DUMMYFUNCTION("""COMPUTED_VALUE"""),5)</f>
        <v>5</v>
      </c>
      <c r="E37" s="24"/>
    </row>
    <row r="38" spans="1:5" ht="25.5" customHeight="1">
      <c r="A38" s="27" t="str">
        <f ca="1">IFERROR(__xludf.DUMMYFUNCTION("""COMPUTED_VALUE"""),"Eventos da Área")</f>
        <v>Eventos da Área</v>
      </c>
      <c r="B38" s="24" t="str">
        <f ca="1">IFERROR(__xludf.DUMMYFUNCTION("""COMPUTED_VALUE"""),"USENIX")</f>
        <v>USENIX</v>
      </c>
      <c r="C38" s="24" t="str">
        <f ca="1">IFERROR(__xludf.DUMMYFUNCTION("""COMPUTED_VALUE"""),"USENIX Annual Technical Conference")</f>
        <v>USENIX Annual Technical Conference</v>
      </c>
      <c r="D38" s="24">
        <f ca="1">IFERROR(__xludf.DUMMYFUNCTION("""COMPUTED_VALUE"""),44)</f>
        <v>44</v>
      </c>
      <c r="E38" s="24" t="str">
        <f ca="1">IFERROR(__xludf.DUMMYFUNCTION("""COMPUTED_VALUE"""),"https://scholar.google.com.br/citations?hl=en&amp;view_op=list_hcore&amp;venue=UoM6MOnWKE8J.2018")</f>
        <v>https://scholar.google.com.br/citations?hl=en&amp;view_op=list_hcore&amp;venue=UoM6MOnWKE8J.2018</v>
      </c>
    </row>
    <row r="39" spans="1:5" ht="25.5" customHeight="1">
      <c r="A39" s="27" t="str">
        <f ca="1">IFERROR(__xludf.DUMMYFUNCTION("""COMPUTED_VALUE"""),"Eventos da Área")</f>
        <v>Eventos da Área</v>
      </c>
      <c r="B39" s="24" t="str">
        <f ca="1">IFERROR(__xludf.DUMMYFUNCTION("""COMPUTED_VALUE"""),"WSCAD")</f>
        <v>WSCAD</v>
      </c>
      <c r="C39" s="24" t="str">
        <f ca="1">IFERROR(__xludf.DUMMYFUNCTION("""COMPUTED_VALUE"""),"Simpósio em Sistemas Computacionais de Alto Desempenho")</f>
        <v>Simpósio em Sistemas Computacionais de Alto Desempenho</v>
      </c>
      <c r="D39" s="24">
        <f ca="1">IFERROR(__xludf.DUMMYFUNCTION("""COMPUTED_VALUE"""),2)</f>
        <v>2</v>
      </c>
      <c r="E39" s="24"/>
    </row>
    <row r="40" spans="1:5" ht="25.5" customHeight="1">
      <c r="A40" s="27" t="str">
        <f ca="1">IFERROR(__xludf.DUMMYFUNCTION("""COMPUTED_VALUE"""),"Eventos da Área")</f>
        <v>Eventos da Área</v>
      </c>
      <c r="B40" s="24" t="str">
        <f ca="1">IFERROR(__xludf.DUMMYFUNCTION("""COMPUTED_VALUE"""),"WTF")</f>
        <v>WTF</v>
      </c>
      <c r="C40" s="24" t="str">
        <f ca="1">IFERROR(__xludf.DUMMYFUNCTION("""COMPUTED_VALUE"""),"Workshop de Testes e Tolerância a Falhas")</f>
        <v>Workshop de Testes e Tolerância a Falhas</v>
      </c>
      <c r="D40" s="24">
        <f ca="1">IFERROR(__xludf.DUMMYFUNCTION("""COMPUTED_VALUE"""),2)</f>
        <v>2</v>
      </c>
      <c r="E40" s="24"/>
    </row>
  </sheetData>
  <hyperlinks>
    <hyperlink ref="E2" r:id="rId1" display="https://scholar.google.com.br/citations?hl=en&amp;view_op=list_hcore&amp;venue=I09_2V3FJhwJ.2018"/>
    <hyperlink ref="E3" r:id="rId2" display="https://scholar.google.com.br/citations?hl=en&amp;view_op=list_hcore&amp;venue=MVYbyyKMpToJ.2018"/>
    <hyperlink ref="E4" r:id="rId3" display="https://scholar.google.com.br/citations?hl=en&amp;view_op=list_hcore&amp;venue=8LhhnAnPYO8J.2018"/>
    <hyperlink ref="E5" r:id="rId4" display="https://scholar.google.com.br/citations?hl=en&amp;view_op=list_hcore&amp;venue=CiHz08Ia1nsJ.2018"/>
    <hyperlink ref="E6" r:id="rId5" display="https://scholar.google.com.br/citations?hl=en&amp;view_op=list_hcore&amp;venue=Cge5_JoKLicJ.2018"/>
    <hyperlink ref="E7" r:id="rId6" display="https://scholar.google.com.br/citations?hl=en&amp;view_op=list_hcore&amp;venue=xJhIFxijeG8J.2018"/>
    <hyperlink ref="E8" r:id="rId7" display="https://scholar.google.com.br/citations?hl=en&amp;view_op=list_hcore&amp;venue=NA4iP0Rm0toJ.2018"/>
    <hyperlink ref="E9" r:id="rId8" display="https://scholar.google.com.br/citations?hl=en&amp;view_op=list_hcore&amp;venue=fcioh0Px5iMJ.2018"/>
    <hyperlink ref="E10" r:id="rId9" display="https://scholar.google.com.br/citations?hl=en&amp;view_op=list_hcore&amp;venue=fWfpTei59DsJ.2018"/>
    <hyperlink ref="E11" r:id="rId10" display="https://scholar.google.com.br/citations?hl=en&amp;view_op=list_hcore&amp;venue=jMvtRj_Yg6wJ.2018"/>
    <hyperlink ref="E12" r:id="rId11" display="https://scholar.google.com.br/citations?hl=en&amp;view_op=list_hcore&amp;venue=y53zu2cNqqkJ.2018"/>
    <hyperlink ref="E13" r:id="rId12" display="https://scholar.google.com.br/citations?hl=en&amp;view_op=list_hcore&amp;venue=o7m_477rT9kJ.2018"/>
    <hyperlink ref="E14" r:id="rId13" display="https://scholar.google.com.br/citations?hl=en&amp;view_op=list_hcore&amp;venue=EhHHXze7CIMJ.2018"/>
    <hyperlink ref="E16" r:id="rId14" display="https://scholar.google.com.br/citations?hl=en&amp;view_op=list_hcore&amp;venue=0jK8bHjCH68J.2018"/>
    <hyperlink ref="E18" r:id="rId15" display="https://scholar.google.com.br/citations?hl=en&amp;view_op=list_hcore&amp;venue=0luRC0xHVlsJ.2018"/>
    <hyperlink ref="E19" r:id="rId16" display="https://scholar.google.com.br/citations?hl=en&amp;view_op=list_hcore&amp;venue=UMMGw1KV79IJ.2018"/>
    <hyperlink ref="E21" r:id="rId17" display="https://scholar.google.com.br/citations?hl=en&amp;view_op=list_hcore&amp;venue=y8-AwXJ0Me0J.2018"/>
    <hyperlink ref="E22" r:id="rId18" display="https://scholar.google.com.br/citations?hl=en&amp;view_op=list_hcore&amp;venue=HQxJsAeEXPkJ.2019"/>
    <hyperlink ref="E23" r:id="rId19" display="https://scholar.google.com.br/citations?hl=en&amp;view_op=list_hcore&amp;venue=intKDWeQOfwJ.2018"/>
    <hyperlink ref="E25" r:id="rId20" display="https://scholar.google.com.br/citations?hl=en&amp;view_op=list_hcore&amp;venue=SrrjCUAZeRcJ.2019"/>
    <hyperlink ref="E26" r:id="rId21" display="https://scholar.google.com.br/citations?hl=en&amp;view_op=list_hcore&amp;venue=iYMCTRkCEn4J.2018"/>
    <hyperlink ref="E27" r:id="rId22" display="https://scholar.google.com.br/citations?hl=en&amp;view_op=list_hcore&amp;venue=J2WvLRIhE6UJ.2019"/>
    <hyperlink ref="E28" r:id="rId23" display="https://scholar.google.com.br/citations?hl=en&amp;view_op=list_hcore&amp;venue=x2Xq7JEL5msJ.2019"/>
    <hyperlink ref="E29" r:id="rId24" display="https://scholar.google.com.br/citations?hl=en&amp;view_op=list_hcore&amp;venue=a1hgjTIprNcJ.2019"/>
    <hyperlink ref="E30" r:id="rId25" display="https://scholar.google.com.br/citations?hl=en&amp;view_op=list_hcore&amp;venue=IdSNHXeKP5gJ.2019"/>
    <hyperlink ref="E31" r:id="rId26" display="https://scholar.google.com.br/citations?hl=en&amp;view_op=list_hcore&amp;venue=lTgG3I7tby0J.2019"/>
    <hyperlink ref="E32" r:id="rId27" display="https://scholar.google.com.br/citations?hl=en&amp;view_op=list_hcore&amp;venue=J92rQU3cJVwJ.2019"/>
    <hyperlink ref="E33" r:id="rId28" display="https://scholar.google.com.br/citations?hl=en&amp;view_op=list_hcore&amp;venue=nZZ8G3Einp0J.2019"/>
    <hyperlink ref="E34" r:id="rId29" display="https://scholar.google.com.br/citations?hl=en&amp;view_op=list_hcore&amp;venue=xujU2BmpDawJ.2019"/>
    <hyperlink ref="E38" r:id="rId30" display="https://scholar.google.com.br/citations?hl=en&amp;view_op=list_hcore&amp;venue=UoM6MOnWKE8J.2018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NOMES E SIGLAS DOS EVENTOS</vt:lpstr>
      <vt:lpstr>CE-ACPAD</vt:lpstr>
      <vt:lpstr>CE-CCI</vt:lpstr>
      <vt:lpstr>CE-ESC</vt:lpstr>
      <vt:lpstr>CE-GRAPI</vt:lpstr>
      <vt:lpstr>CE-RESD</vt:lpstr>
      <vt:lpstr>CE-R</vt:lpstr>
      <vt:lpstr>CE-SEG</vt:lpstr>
      <vt:lpstr>CE-TF</vt:lpstr>
      <vt:lpstr>CE-ES</vt:lpstr>
      <vt:lpstr>CE-LP</vt:lpstr>
      <vt:lpstr>CE-MF</vt:lpstr>
      <vt:lpstr>CE-ACO</vt:lpstr>
      <vt:lpstr>CE-BioComp</vt:lpstr>
      <vt:lpstr>CE-CM</vt:lpstr>
      <vt:lpstr>CE-IA</vt:lpstr>
      <vt:lpstr>CE-IC</vt:lpstr>
      <vt:lpstr>CE-IHC</vt:lpstr>
      <vt:lpstr>CE-PLN</vt:lpstr>
      <vt:lpstr>CE-SC</vt:lpstr>
      <vt:lpstr>CE-WEBMEDIA</vt:lpstr>
      <vt:lpstr>CE-RV</vt:lpstr>
      <vt:lpstr>CE-JOGOS</vt:lpstr>
      <vt:lpstr>CE-Geoinformática</vt:lpstr>
      <vt:lpstr>CE-CAS</vt:lpstr>
      <vt:lpstr>CE-IE</vt:lpstr>
      <vt:lpstr>CE-SI</vt:lpstr>
      <vt:lpstr>CE-BD</vt:lpstr>
      <vt:lpstr>GI-L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eventos</cp:lastModifiedBy>
  <dcterms:modified xsi:type="dcterms:W3CDTF">2022-05-05T18:46:19Z</dcterms:modified>
</cp:coreProperties>
</file>